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8670" firstSheet="4" activeTab="9"/>
  </bookViews>
  <sheets>
    <sheet name="Cantidad Demandada" sheetId="1" r:id="rId1"/>
    <sheet name="Ingresos" sheetId="2" r:id="rId2"/>
    <sheet name="costos" sheetId="3" r:id="rId3"/>
    <sheet name="Capital de Trabajo" sheetId="4" r:id="rId4"/>
    <sheet name="Inversion Total" sheetId="5" r:id="rId5"/>
    <sheet name="Financiamiento" sheetId="6" r:id="rId6"/>
    <sheet name="Depreciacion" sheetId="7" r:id="rId7"/>
    <sheet name="Estado de Resultados" sheetId="8" r:id="rId8"/>
    <sheet name="CAPM" sheetId="9" r:id="rId9"/>
    <sheet name="Flujo de Caja" sheetId="10" r:id="rId10"/>
    <sheet name="Variables Flujo de Caja (2)" sheetId="11" r:id="rId11"/>
    <sheet name="Resultados de las Variables" sheetId="12" r:id="rId12"/>
    <sheet name="Analisis de Sensibilidad" sheetId="13" r:id="rId13"/>
  </sheets>
  <definedNames/>
  <calcPr fullCalcOnLoad="1"/>
</workbook>
</file>

<file path=xl/comments3.xml><?xml version="1.0" encoding="utf-8"?>
<comments xmlns="http://schemas.openxmlformats.org/spreadsheetml/2006/main">
  <authors>
    <author>jennifer</author>
  </authors>
  <commentList>
    <comment ref="A10" authorId="0">
      <text>
        <r>
          <rPr>
            <b/>
            <sz val="9"/>
            <rFont val="Tahoma"/>
            <family val="2"/>
          </rPr>
          <t>jennifer:</t>
        </r>
        <r>
          <rPr>
            <sz val="9"/>
            <rFont val="Tahoma"/>
            <family val="2"/>
          </rPr>
          <t xml:space="preserve">
banner estandar animado 468x60 pixeles </t>
        </r>
      </text>
    </comment>
  </commentList>
</comments>
</file>

<file path=xl/comments5.xml><?xml version="1.0" encoding="utf-8"?>
<comments xmlns="http://schemas.openxmlformats.org/spreadsheetml/2006/main">
  <authors>
    <author>LEONIC</author>
  </authors>
  <commentList>
    <comment ref="G22" authorId="0">
      <text>
        <r>
          <rPr>
            <b/>
            <sz val="8"/>
            <rFont val="Tahoma"/>
            <family val="0"/>
          </rPr>
          <t>caracteristicas:</t>
        </r>
        <r>
          <rPr>
            <sz val="8"/>
            <rFont val="Tahoma"/>
            <family val="0"/>
          </rPr>
          <t xml:space="preserve">
3 metros de distancia minima de enfoque, potencia nocturna 12,6 Diamentro objetivo 20mm</t>
        </r>
      </text>
    </comment>
    <comment ref="F14" authorId="0">
      <text>
        <r>
          <rPr>
            <b/>
            <sz val="8"/>
            <rFont val="Tahoma"/>
            <family val="0"/>
          </rPr>
          <t>Caracteristicas:</t>
        </r>
        <r>
          <rPr>
            <sz val="8"/>
            <rFont val="Tahoma"/>
            <family val="0"/>
          </rPr>
          <t xml:space="preserve">
Computador HP Compaq 805 mas Impresora Scanner Lapiz Optico; canara Audifono</t>
        </r>
      </text>
    </comment>
    <comment ref="F6" authorId="0">
      <text>
        <r>
          <rPr>
            <b/>
            <sz val="8"/>
            <rFont val="Tahoma"/>
            <family val="0"/>
          </rPr>
          <t>LEONIC:</t>
        </r>
        <r>
          <rPr>
            <sz val="8"/>
            <rFont val="Tahoma"/>
            <family val="0"/>
          </rPr>
          <t xml:space="preserve">
motos yamaha enticer 250cc okm </t>
        </r>
      </text>
    </comment>
    <comment ref="G19" authorId="0">
      <text>
        <r>
          <rPr>
            <b/>
            <sz val="8"/>
            <rFont val="Tahoma"/>
            <family val="0"/>
          </rPr>
          <t>Caracteristicas:</t>
        </r>
        <r>
          <rPr>
            <sz val="8"/>
            <rFont val="Tahoma"/>
            <family val="0"/>
          </rPr>
          <t xml:space="preserve">
LG USB y karaoke Diseño Superdelgado Reproduccion multiformatos Karaoke fanfarria</t>
        </r>
      </text>
    </comment>
    <comment ref="G17" authorId="0">
      <text>
        <r>
          <rPr>
            <b/>
            <sz val="8"/>
            <rFont val="Tahoma"/>
            <family val="0"/>
          </rPr>
          <t>Caracteristicas:</t>
        </r>
        <r>
          <rPr>
            <sz val="8"/>
            <rFont val="Tahoma"/>
            <family val="0"/>
          </rPr>
          <t xml:space="preserve">
Sony Xr 520 y 284 Gb</t>
        </r>
      </text>
    </comment>
    <comment ref="G16" authorId="0">
      <text>
        <r>
          <rPr>
            <b/>
            <sz val="8"/>
            <rFont val="Tahoma"/>
            <family val="0"/>
          </rPr>
          <t>LEONIC:</t>
        </r>
        <r>
          <rPr>
            <sz val="8"/>
            <rFont val="Tahoma"/>
            <family val="0"/>
          </rPr>
          <t xml:space="preserve">
Dsc Hx1 9.1 Mp 20 x zoom profesional</t>
        </r>
      </text>
    </comment>
    <comment ref="F5" authorId="0">
      <text>
        <r>
          <rPr>
            <b/>
            <sz val="8"/>
            <rFont val="Tahoma"/>
            <family val="0"/>
          </rPr>
          <t>LEONIC:</t>
        </r>
        <r>
          <rPr>
            <sz val="8"/>
            <rFont val="Tahoma"/>
            <family val="0"/>
          </rPr>
          <t xml:space="preserve">
dos vias, 16 canales, para todo trabajo</t>
        </r>
      </text>
    </comment>
    <comment ref="F12" authorId="0">
      <text>
        <r>
          <rPr>
            <b/>
            <sz val="8"/>
            <rFont val="Tahoma"/>
            <family val="0"/>
          </rPr>
          <t>LEONIC:</t>
        </r>
        <r>
          <rPr>
            <sz val="8"/>
            <rFont val="Tahoma"/>
            <family val="0"/>
          </rPr>
          <t xml:space="preserve">
inalambrico, graba conversaciones central telefonica</t>
        </r>
      </text>
    </comment>
  </commentList>
</comments>
</file>

<file path=xl/comments7.xml><?xml version="1.0" encoding="utf-8"?>
<comments xmlns="http://schemas.openxmlformats.org/spreadsheetml/2006/main">
  <authors>
    <author>jennifer</author>
  </authors>
  <commentList>
    <comment ref="E12" authorId="0">
      <text>
        <r>
          <rPr>
            <b/>
            <sz val="9"/>
            <rFont val="Tahoma"/>
            <family val="2"/>
          </rPr>
          <t>jennifer:</t>
        </r>
        <r>
          <rPr>
            <sz val="9"/>
            <rFont val="Tahoma"/>
            <family val="2"/>
          </rPr>
          <t xml:space="preserve">
Es el total de equipos mas radios y muebles de oficina</t>
        </r>
      </text>
    </comment>
  </commentList>
</comments>
</file>

<file path=xl/sharedStrings.xml><?xml version="1.0" encoding="utf-8"?>
<sst xmlns="http://schemas.openxmlformats.org/spreadsheetml/2006/main" count="402" uniqueCount="290">
  <si>
    <t>Inversion Inicial</t>
  </si>
  <si>
    <t xml:space="preserve">Inversion Fija </t>
  </si>
  <si>
    <t>Gastos de Constitucion y Puesta en Marcha</t>
  </si>
  <si>
    <t xml:space="preserve">Imprenta </t>
  </si>
  <si>
    <t>Notaria</t>
  </si>
  <si>
    <t>Asesoria Legal</t>
  </si>
  <si>
    <t>Asesoria Contable</t>
  </si>
  <si>
    <t>Realizacion de Prototipo</t>
  </si>
  <si>
    <t>Folletos</t>
  </si>
  <si>
    <t>Letrero</t>
  </si>
  <si>
    <t>Periodico</t>
  </si>
  <si>
    <t>Gastos en Sistemas de Informacion</t>
  </si>
  <si>
    <t>Arriendo del Local</t>
  </si>
  <si>
    <t xml:space="preserve">Mes anticipado </t>
  </si>
  <si>
    <t>Vehiculos</t>
  </si>
  <si>
    <t>Mobiliario de Oficina</t>
  </si>
  <si>
    <t>Material de Oficina</t>
  </si>
  <si>
    <t>Telefonía</t>
  </si>
  <si>
    <t>Equipos de Imagen</t>
  </si>
  <si>
    <t>Equipos de Grabacion y Recopilacion de Informacion</t>
  </si>
  <si>
    <t>DVD</t>
  </si>
  <si>
    <t xml:space="preserve">Filmadora </t>
  </si>
  <si>
    <t>Equipos de Vision</t>
  </si>
  <si>
    <t>Monocular</t>
  </si>
  <si>
    <t xml:space="preserve">Equipos informáticos </t>
  </si>
  <si>
    <t>Total</t>
  </si>
  <si>
    <t>Subtotal</t>
  </si>
  <si>
    <t>COSTOS</t>
  </si>
  <si>
    <t>Costos Fijos</t>
  </si>
  <si>
    <t>Costos Variables</t>
  </si>
  <si>
    <t>Remuneraciones</t>
  </si>
  <si>
    <t>agua</t>
  </si>
  <si>
    <t>luz</t>
  </si>
  <si>
    <t>teléfono</t>
  </si>
  <si>
    <t>Aire Acondicionado</t>
  </si>
  <si>
    <t>Internet</t>
  </si>
  <si>
    <t>Mensual</t>
  </si>
  <si>
    <t>Unitario</t>
  </si>
  <si>
    <t>Publicidad online</t>
  </si>
  <si>
    <t>Radios</t>
  </si>
  <si>
    <t>Suministros de Oficina</t>
  </si>
  <si>
    <t>Cantidad</t>
  </si>
  <si>
    <t>Valor Unitario</t>
  </si>
  <si>
    <t xml:space="preserve">Gastos de Constitucion </t>
  </si>
  <si>
    <t>Poblacion Objetivo</t>
  </si>
  <si>
    <t>% Compradores segun encuestas</t>
  </si>
  <si>
    <t>%Porter</t>
  </si>
  <si>
    <t>AÑOS</t>
  </si>
  <si>
    <t>Proyeccion Annual Total</t>
  </si>
  <si>
    <t>Proyeccion Mensual Total</t>
  </si>
  <si>
    <t>Proyeccion Diaria Total</t>
  </si>
  <si>
    <t>http://www.elperiodico.com.gt/es/20080129/pais/48019</t>
  </si>
  <si>
    <t>Ver esta pagina</t>
  </si>
  <si>
    <t xml:space="preserve">Precio </t>
  </si>
  <si>
    <t>Ingreso</t>
  </si>
  <si>
    <t>Caso 1</t>
  </si>
  <si>
    <t>Caso 2</t>
  </si>
  <si>
    <t>Caso 3</t>
  </si>
  <si>
    <t>Creacion y Diseno Web Basico</t>
  </si>
  <si>
    <t>Gastos de Publicidad por lanzamiento</t>
  </si>
  <si>
    <t>Arriendo de local</t>
  </si>
  <si>
    <t>Alquiler de senal de radios</t>
  </si>
  <si>
    <t>Cantidad Mensual Caso Fotos</t>
  </si>
  <si>
    <t>Cantidad Mensual Caso Videos</t>
  </si>
  <si>
    <t>Cantidad Mensual Caso Videos y Fotos</t>
  </si>
  <si>
    <t>Ingreso Annual</t>
  </si>
  <si>
    <t>materiales indirectos</t>
  </si>
  <si>
    <t>Fotos</t>
  </si>
  <si>
    <t>AÑO 2010</t>
  </si>
  <si>
    <t>Porcentaje de venta mensual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</si>
  <si>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</si>
  <si>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</si>
  <si>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</si>
  <si>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</si>
  <si>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</si>
  <si>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</si>
  <si>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</si>
  <si>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</si>
  <si>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</si>
  <si>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</si>
  <si>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</si>
  <si>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</si>
  <si>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http://www.indexmundi.com/es/ecuador/tasa_de_crecimiento.html</t>
  </si>
  <si>
    <t>tasa de crecimineto Ecuador</t>
  </si>
  <si>
    <t>Año</t>
  </si>
  <si>
    <t>Tasa de crecimiento (%)</t>
  </si>
  <si>
    <t>Tasa de crecimiento</t>
  </si>
  <si>
    <t>annual</t>
  </si>
  <si>
    <t>CaSo1</t>
  </si>
  <si>
    <t>Caso2</t>
  </si>
  <si>
    <t>CASo3</t>
  </si>
  <si>
    <t>Precio1</t>
  </si>
  <si>
    <t>Precio2</t>
  </si>
  <si>
    <t>Precio3</t>
  </si>
  <si>
    <t>INGRESO CASo 1</t>
  </si>
  <si>
    <t>Ingreso Caso 2</t>
  </si>
  <si>
    <t>Ingreso Caso 3</t>
  </si>
  <si>
    <t>Ingreso TOTAL</t>
  </si>
  <si>
    <t>Cds</t>
  </si>
  <si>
    <t>Fotos y Cds</t>
  </si>
  <si>
    <t>Costo Total</t>
  </si>
  <si>
    <t>Flujo Mensual</t>
  </si>
  <si>
    <t>Saldo Acumulado</t>
  </si>
  <si>
    <t>http://pages.ebay.es/paypal/como-vender.html</t>
  </si>
  <si>
    <t>http://www.utpl.edu.ec/eva/descargas/material/140/AEMAAE3/G515806.pdf</t>
  </si>
  <si>
    <t xml:space="preserve">sillas de espera </t>
  </si>
  <si>
    <t>Escritorios tipo L</t>
  </si>
  <si>
    <t>sillas tipo gerencia</t>
  </si>
  <si>
    <t>quemador de DVD</t>
  </si>
  <si>
    <t>Gastos de Constitucion</t>
  </si>
  <si>
    <t>Capital de Trabajo</t>
  </si>
  <si>
    <t>Inversion Total</t>
  </si>
  <si>
    <t>BANCO DEL FOMENTO</t>
  </si>
  <si>
    <t>PRESTAMO</t>
  </si>
  <si>
    <t xml:space="preserve"> </t>
  </si>
  <si>
    <t>PLAZO:</t>
  </si>
  <si>
    <t>INTERES:</t>
  </si>
  <si>
    <t>ANUAL</t>
  </si>
  <si>
    <t>PAGO</t>
  </si>
  <si>
    <t>AMORTIZACION</t>
  </si>
  <si>
    <t>INTERES</t>
  </si>
  <si>
    <t>SALDO INSOLUTO</t>
  </si>
  <si>
    <t>DEPRECIACION</t>
  </si>
  <si>
    <t>COSTO INICIAL</t>
  </si>
  <si>
    <t>VALOR SALVAMENTO</t>
  </si>
  <si>
    <t>VIDA UTIL</t>
  </si>
  <si>
    <t>DEPRECIACION ANUAL</t>
  </si>
  <si>
    <t>VALOR EN LIBROS EN EL ANO 10</t>
  </si>
  <si>
    <t>Muebles de oficina</t>
  </si>
  <si>
    <t>Equipo de computo</t>
  </si>
  <si>
    <t>FLUJO DE EFECTIVO NETO</t>
  </si>
  <si>
    <t>Ingresos por ventas</t>
  </si>
  <si>
    <t>(-) Gastos de sueldos y salarios</t>
  </si>
  <si>
    <t>(-) Gastos de Arriendo</t>
  </si>
  <si>
    <t>(-) Gastos de Servicios básicos</t>
  </si>
  <si>
    <t>(-) Depreciacion de muebles de oficina</t>
  </si>
  <si>
    <t>Utilidad antes de beneficios a trabajadores</t>
  </si>
  <si>
    <t>(-) 15% beneficios a trabajadores</t>
  </si>
  <si>
    <t>Utilidad antes de impuesto a la renta</t>
  </si>
  <si>
    <t>(-) 25 % de impuesto a la renta</t>
  </si>
  <si>
    <t>( - ) Inversión Fija</t>
  </si>
  <si>
    <t>( - ) Capital de Trabajo</t>
  </si>
  <si>
    <t>(+) prestamos</t>
  </si>
  <si>
    <t>(-) Amortizaciones por préstamo</t>
  </si>
  <si>
    <t>(+) Valor de desecho</t>
  </si>
  <si>
    <t>(+) Valor en libros de maquinaria y equipo</t>
  </si>
  <si>
    <t>(+) Valor en libros de muebles de oficina</t>
  </si>
  <si>
    <t>Equipo de Imagen</t>
  </si>
  <si>
    <t>Equipo de Grabacion</t>
  </si>
  <si>
    <t>Equipo de Vision</t>
  </si>
  <si>
    <t>ESTADO DE PERDIDAS Y GANACIAS</t>
  </si>
  <si>
    <t>Utilidad del Ejercicio</t>
  </si>
  <si>
    <t>(-) Costos de ventas</t>
  </si>
  <si>
    <t>(-) Gastos de publicidad online</t>
  </si>
  <si>
    <t>Annual</t>
  </si>
  <si>
    <t>(-) Alquiler de Radios</t>
  </si>
  <si>
    <t>(-) Suministros de Oficina</t>
  </si>
  <si>
    <t>(-) Internet</t>
  </si>
  <si>
    <t>(-) Depreciacion de Equipos (grabacion, imagen, vision, radios)</t>
  </si>
  <si>
    <t>(-) Depreciacion de vehiculo</t>
  </si>
  <si>
    <t>(-) Depreciacion de Aire Acondicionado</t>
  </si>
  <si>
    <t>(+) Depreciacion de Equipos (grabacion, imagen, vision, radios)</t>
  </si>
  <si>
    <t>(+) Depreciacion de vehiculo</t>
  </si>
  <si>
    <t>(+) Depreciacion de Aire Acondicionado</t>
  </si>
  <si>
    <t>(+) Depreciacion de muebles de oficina</t>
  </si>
  <si>
    <t>(-) Gastos del préstamo (intereses)</t>
  </si>
  <si>
    <t>Utilidad después de impuestos</t>
  </si>
  <si>
    <t>VAN</t>
  </si>
  <si>
    <t>TIR</t>
  </si>
  <si>
    <t>Rf =</t>
  </si>
  <si>
    <t>Rm =</t>
  </si>
  <si>
    <t>B =</t>
  </si>
  <si>
    <t>Riesgo pais =</t>
  </si>
  <si>
    <t>CAPM        =</t>
  </si>
  <si>
    <t>Anual</t>
  </si>
  <si>
    <t>Purchase payments received (monthly)</t>
  </si>
  <si>
    <t>Fee per transaction</t>
  </si>
  <si>
    <t>$0.00 USD - $3,000.00 USD</t>
  </si>
  <si>
    <t>2.9% + $0.30 USD</t>
  </si>
  <si>
    <t>$3,000.01 USD - $10,000.00 USD</t>
  </si>
  <si>
    <t>$10,000.01 USD - $100,000.00 USD</t>
  </si>
  <si>
    <t>&gt; $100,000.00 USD</t>
  </si>
  <si>
    <t>Iva Compras</t>
  </si>
  <si>
    <t>Iva Ventas</t>
  </si>
  <si>
    <t>Deposito</t>
  </si>
  <si>
    <t>Pago por recibir dinero en Paypal</t>
  </si>
  <si>
    <t>IVA COMPRAS MENSUAL</t>
  </si>
  <si>
    <t>Pago Mensual</t>
  </si>
  <si>
    <t>Caso anual 2</t>
  </si>
  <si>
    <t>Caso anual 1</t>
  </si>
  <si>
    <t>Caso anual 3</t>
  </si>
  <si>
    <t>Total de Costos Fijos</t>
  </si>
  <si>
    <t>Total de Costos Variables</t>
  </si>
  <si>
    <t xml:space="preserve"> INVERSION TOTAL</t>
  </si>
  <si>
    <t>VP Flujo</t>
  </si>
  <si>
    <t>VP Acumulado</t>
  </si>
  <si>
    <t>TASA DE DESCUENTO</t>
  </si>
  <si>
    <t>Periodo de Recuperacion</t>
  </si>
  <si>
    <t>anos</t>
  </si>
  <si>
    <t>Precio</t>
  </si>
  <si>
    <t>Sueldo</t>
  </si>
  <si>
    <t>VARIABLES</t>
  </si>
  <si>
    <t>Fuente:</t>
  </si>
  <si>
    <t>Costo de Matenimiento de equipo de trabajo</t>
  </si>
  <si>
    <t>(-) Pago por recibir Paypal</t>
  </si>
  <si>
    <t>(-) costo de mantenimiento</t>
  </si>
  <si>
    <t>(-) Pago por el uso de Paypal</t>
  </si>
  <si>
    <t>(-)Costo de Mantenimiento de Equipo de Trabajo</t>
  </si>
  <si>
    <t>http://www.bnf.fin.ec/index.php?s=9&amp;a=72</t>
  </si>
  <si>
    <t>Servicios Basicos</t>
  </si>
  <si>
    <t>Fuente del Pago del PayPal</t>
  </si>
  <si>
    <t>Fuente de la tasa de interes del banco de fomento</t>
  </si>
  <si>
    <t>3.4% + $0.30 USD</t>
  </si>
  <si>
    <t>2.7% + $0.30 USD</t>
  </si>
  <si>
    <t>2.4% + $0.30 USD</t>
  </si>
  <si>
    <t>https://www.paypal.com/ec/cgi-bin/webscr?cmd=_display-receiving-fees-outside</t>
  </si>
  <si>
    <t>http://leadernet.net.ec/</t>
  </si>
  <si>
    <t>Riesgo Pais</t>
  </si>
  <si>
    <t>Industry Name</t>
  </si>
  <si>
    <t>Number of Firms</t>
  </si>
  <si>
    <t>Unlevered Beta corrected for cash</t>
  </si>
  <si>
    <t>Correlation with market</t>
  </si>
  <si>
    <t>Total Beta (Unlevered)</t>
  </si>
  <si>
    <t>Advertising</t>
  </si>
  <si>
    <t>Aerospace/Defense</t>
  </si>
  <si>
    <t>Air Transport</t>
  </si>
  <si>
    <t>Apparel</t>
  </si>
  <si>
    <t>Auto &amp; Truck</t>
  </si>
  <si>
    <t>Auto Parts</t>
  </si>
  <si>
    <t>Bank</t>
  </si>
  <si>
    <t>Bank (Canadian)</t>
  </si>
  <si>
    <t>Bank (Midwest)</t>
  </si>
  <si>
    <t>Beverage</t>
  </si>
  <si>
    <t>Biotechnology</t>
  </si>
  <si>
    <t>Building Materials</t>
  </si>
  <si>
    <t>Cable TV</t>
  </si>
  <si>
    <t>Canadian Energy</t>
  </si>
  <si>
    <t>Chemical (Basic)</t>
  </si>
  <si>
    <t>Chemical (Diversified)</t>
  </si>
  <si>
    <t>Chemical (Specialty)</t>
  </si>
  <si>
    <t>Coal</t>
  </si>
  <si>
    <t>Computer Software/Svcs</t>
  </si>
  <si>
    <t>Computers/Peripherals</t>
  </si>
  <si>
    <t>Diversified Co.</t>
  </si>
  <si>
    <t>Drug</t>
  </si>
  <si>
    <t>E-Commerce</t>
  </si>
  <si>
    <t>Educational Services</t>
  </si>
  <si>
    <t>Electric Util. (Central)</t>
  </si>
  <si>
    <t>Electric Utility (East)</t>
  </si>
  <si>
    <t>Electric Utility (West)</t>
  </si>
  <si>
    <t>Electrical Equipment</t>
  </si>
  <si>
    <t>Electronics</t>
  </si>
  <si>
    <t>Entertainment</t>
  </si>
  <si>
    <t>Prima riesgo del mercado</t>
  </si>
  <si>
    <t>CAPM</t>
  </si>
  <si>
    <t>(Rf + (Rm - Rf) * B)+Rp</t>
  </si>
  <si>
    <t>Beta Historico de la empresa y del Rentabilidad mercado</t>
  </si>
  <si>
    <t>Ultima actualización: 28/01/2009 9:17:58 p.m. - Valores con un retraso de 30 minutos</t>
  </si>
  <si>
    <t>BONOS DEL TESORO DE ESTADOS UNIDOS - TNA (TASA NOMINAL ANUAL)</t>
  </si>
  <si>
    <t>3 meses</t>
  </si>
  <si>
    <t>6 meses</t>
  </si>
  <si>
    <t>2 años</t>
  </si>
  <si>
    <t>5 años</t>
  </si>
  <si>
    <t>10 años</t>
  </si>
  <si>
    <t>30 años</t>
  </si>
  <si>
    <t>Tasa Libre de Riesgo</t>
  </si>
  <si>
    <t>Año 0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</si>
  <si>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</si>
  <si>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</si>
  <si>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</si>
  <si>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</si>
  <si>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</si>
  <si>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</si>
  <si>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</si>
  <si>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</si>
  <si>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</si>
  <si>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</si>
  <si>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Precio 56</t>
  </si>
  <si>
    <t>Precio 67.2</t>
  </si>
  <si>
    <t>Precio 78.4</t>
  </si>
  <si>
    <t>Cantidad 129</t>
  </si>
  <si>
    <t>Cantidad 172</t>
  </si>
  <si>
    <t>Sueldo 15696</t>
  </si>
  <si>
    <t xml:space="preserve">42 escenarios </t>
  </si>
  <si>
    <t>Gasolina</t>
  </si>
  <si>
    <t>http://www.skyscraperlife.com/city-versus-city/24999-lima-arequipa-trujillo-per-vs-quito-guayaquil-cuenca-ecu-420.html</t>
  </si>
  <si>
    <t>Porcentaje de personas de clase alta y media alta en Guayaquil (datos julio 2009)</t>
  </si>
  <si>
    <t>Fuente</t>
  </si>
  <si>
    <t>http://www.dspace.espol.edu.ec/bitstream/123456789/1922/1/3798.pdf</t>
  </si>
  <si>
    <t>www.inec.gov.ec/c/document_library/get_file?folderId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</si>
</sst>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$&quot;\ #,##0_);\(&quot;$&quot;\ #,##0\)"/>
    <numFmt numFmtId="189" formatCode="&quot;$&quot;\ #,##0_);[Red]\(&quot;$&quot;\ #,##0\)"/>
    <numFmt numFmtId="190" formatCode="&quot;$&quot;\ #,##0.00_);\(&quot;$&quot;\ #,##0.00\)"/>
    <numFmt numFmtId="191" formatCode="&quot;$&quot;\ #,##0.00_);[Red]\(&quot;$&quot;\ #,##0.00\)"/>
    <numFmt numFmtId="192" formatCode="_(&quot;$&quot;\ * #,##0_);_(&quot;$&quot;\ * \(#,##0\);_(&quot;$&quot;\ * &quot;-&quot;_);_(@_)"/>
    <numFmt numFmtId="193" formatCode="_(&quot;$&quot;\ * #,##0.00_);_(&quot;$&quot;\ * \(#,##0.00\);_(&quot;$&quot;\ * &quot;-&quot;??_);_(@_)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0.0"/>
    <numFmt numFmtId="199" formatCode="0.000000000"/>
    <numFmt numFmtId="200" formatCode="0.00000000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_-* #,##0\ _P_t_s_-;\-* #,##0\ _P_t_s_-;_-* &quot;-&quot;\ _P_t_s_-;_-@_-"/>
    <numFmt numFmtId="207" formatCode="#,##0.00\ _€"/>
    <numFmt numFmtId="208" formatCode="0.000000%"/>
    <numFmt numFmtId="209" formatCode="#,##0.000"/>
    <numFmt numFmtId="210" formatCode="#,##0.0000"/>
    <numFmt numFmtId="211" formatCode="#,##0.00000"/>
    <numFmt numFmtId="212" formatCode="#,##0.000000"/>
    <numFmt numFmtId="213" formatCode="#,##0.0"/>
    <numFmt numFmtId="214" formatCode="0.0%"/>
    <numFmt numFmtId="215" formatCode="0.000%"/>
    <numFmt numFmtId="216" formatCode="0.000000000000000%"/>
    <numFmt numFmtId="217" formatCode="0.0000000000000000%"/>
    <numFmt numFmtId="218" formatCode="0.00000000000000%"/>
    <numFmt numFmtId="219" formatCode="0.0000000000000%"/>
    <numFmt numFmtId="220" formatCode="0.000000000000%"/>
    <numFmt numFmtId="221" formatCode="0.00000000000%"/>
    <numFmt numFmtId="222" formatCode="0.0000000000%"/>
    <numFmt numFmtId="223" formatCode="0.000000000%"/>
    <numFmt numFmtId="224" formatCode="0.00000000%"/>
    <numFmt numFmtId="225" formatCode="0.0000000%"/>
    <numFmt numFmtId="226" formatCode="0.00000%"/>
    <numFmt numFmtId="227" formatCode="0.0000%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Candar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2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56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0"/>
      <color indexed="8"/>
      <name val="Candara"/>
      <family val="2"/>
    </font>
    <font>
      <sz val="10"/>
      <name val="Arial"/>
      <family val="2"/>
    </font>
    <font>
      <i/>
      <sz val="9"/>
      <name val="Candara"/>
      <family val="2"/>
    </font>
    <font>
      <sz val="10"/>
      <name val="Candara"/>
      <family val="2"/>
    </font>
    <font>
      <sz val="8"/>
      <color indexed="23"/>
      <name val="Trebuchet MS"/>
      <family val="2"/>
    </font>
    <font>
      <b/>
      <sz val="8"/>
      <color indexed="9"/>
      <name val="Tahoma"/>
      <family val="2"/>
    </font>
    <font>
      <b/>
      <sz val="2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i/>
      <sz val="11"/>
      <color indexed="8"/>
      <name val="Calibri"/>
      <family val="2"/>
    </font>
    <font>
      <sz val="10"/>
      <name val="Calibri"/>
      <family val="2"/>
    </font>
    <font>
      <b/>
      <i/>
      <sz val="10"/>
      <color indexed="8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EBF1F7"/>
      </bottom>
    </border>
    <border>
      <left style="medium"/>
      <right style="medium">
        <color rgb="FFEBF1F7"/>
      </right>
      <top style="medium"/>
      <bottom style="medium">
        <color rgb="FFEBF1F7"/>
      </bottom>
    </border>
    <border>
      <left style="medium">
        <color rgb="FFEBF1F7"/>
      </left>
      <right>
        <color indexed="63"/>
      </right>
      <top style="medium"/>
      <bottom style="medium">
        <color rgb="FFEBF1F7"/>
      </bottom>
    </border>
    <border>
      <left>
        <color indexed="63"/>
      </left>
      <right style="medium"/>
      <top style="medium"/>
      <bottom style="medium">
        <color rgb="FFEBF1F7"/>
      </bottom>
    </border>
    <border>
      <left style="medium"/>
      <right style="medium">
        <color rgb="FFEBF1F7"/>
      </right>
      <top style="medium">
        <color rgb="FFEBF1F7"/>
      </top>
      <bottom style="medium">
        <color rgb="FFEBF1F7"/>
      </bottom>
    </border>
    <border>
      <left style="medium"/>
      <right style="medium">
        <color rgb="FFEBF1F7"/>
      </right>
      <top style="medium">
        <color rgb="FFEBF1F7"/>
      </top>
      <bottom style="medium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 style="medium"/>
      <right style="medium">
        <color theme="3"/>
      </right>
      <top style="medium">
        <color theme="3"/>
      </top>
      <bottom style="medium">
        <color theme="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1" fillId="29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5" fillId="31" borderId="0" applyNumberFormat="0" applyBorder="0" applyAlignment="0" applyProtection="0"/>
    <xf numFmtId="0" fontId="23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66" fillId="21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60" fillId="0" borderId="8" applyNumberFormat="0" applyFill="0" applyAlignment="0" applyProtection="0"/>
    <xf numFmtId="0" fontId="72" fillId="0" borderId="9" applyNumberFormat="0" applyFill="0" applyAlignment="0" applyProtection="0"/>
  </cellStyleXfs>
  <cellXfs count="406"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9" fontId="0" fillId="0" borderId="0" xfId="0" applyNumberFormat="1" applyAlignment="1">
      <alignment/>
    </xf>
    <xf numFmtId="9" fontId="9" fillId="0" borderId="0" xfId="0" applyNumberFormat="1" applyFont="1" applyAlignment="1">
      <alignment/>
    </xf>
    <xf numFmtId="0" fontId="10" fillId="33" borderId="0" xfId="0" applyFont="1" applyFill="1" applyAlignment="1">
      <alignment/>
    </xf>
    <xf numFmtId="0" fontId="62" fillId="0" borderId="0" xfId="45" applyAlignment="1" applyProtection="1">
      <alignment/>
      <protection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10" fillId="34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0" borderId="0" xfId="0" applyNumberFormat="1" applyAlignment="1">
      <alignment/>
    </xf>
    <xf numFmtId="0" fontId="1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4" fillId="0" borderId="22" xfId="0" applyFont="1" applyBorder="1" applyAlignment="1">
      <alignment horizontal="center" vertical="center" wrapText="1"/>
    </xf>
    <xf numFmtId="0" fontId="15" fillId="0" borderId="22" xfId="0" applyFont="1" applyBorder="1" applyAlignment="1">
      <alignment wrapText="1"/>
    </xf>
    <xf numFmtId="0" fontId="15" fillId="0" borderId="22" xfId="0" applyFont="1" applyBorder="1" applyAlignment="1">
      <alignment horizontal="right" wrapText="1"/>
    </xf>
    <xf numFmtId="10" fontId="0" fillId="0" borderId="0" xfId="0" applyNumberFormat="1" applyAlignment="1">
      <alignment/>
    </xf>
    <xf numFmtId="0" fontId="9" fillId="0" borderId="0" xfId="0" applyFont="1" applyAlignment="1">
      <alignment/>
    </xf>
    <xf numFmtId="2" fontId="0" fillId="0" borderId="17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23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35" borderId="24" xfId="0" applyFont="1" applyFill="1" applyBorder="1" applyAlignment="1">
      <alignment horizontal="left"/>
    </xf>
    <xf numFmtId="0" fontId="6" fillId="35" borderId="24" xfId="0" applyFont="1" applyFill="1" applyBorder="1" applyAlignment="1">
      <alignment horizontal="center"/>
    </xf>
    <xf numFmtId="179" fontId="8" fillId="0" borderId="10" xfId="48" applyNumberFormat="1" applyFont="1" applyFill="1" applyBorder="1" applyAlignment="1">
      <alignment horizontal="center"/>
    </xf>
    <xf numFmtId="179" fontId="8" fillId="0" borderId="13" xfId="48" applyNumberFormat="1" applyFont="1" applyFill="1" applyBorder="1" applyAlignment="1">
      <alignment horizontal="center"/>
    </xf>
    <xf numFmtId="179" fontId="8" fillId="0" borderId="0" xfId="48" applyNumberFormat="1" applyFont="1" applyFill="1" applyBorder="1" applyAlignment="1">
      <alignment horizontal="center" vertical="top" wrapText="1"/>
    </xf>
    <xf numFmtId="179" fontId="8" fillId="0" borderId="13" xfId="48" applyNumberFormat="1" applyFont="1" applyFill="1" applyBorder="1" applyAlignment="1">
      <alignment/>
    </xf>
    <xf numFmtId="179" fontId="8" fillId="0" borderId="15" xfId="48" applyNumberFormat="1" applyFont="1" applyFill="1" applyBorder="1" applyAlignment="1">
      <alignment/>
    </xf>
    <xf numFmtId="179" fontId="0" fillId="0" borderId="0" xfId="0" applyNumberFormat="1" applyAlignment="1">
      <alignment/>
    </xf>
    <xf numFmtId="0" fontId="16" fillId="0" borderId="0" xfId="0" applyFont="1" applyAlignment="1">
      <alignment/>
    </xf>
    <xf numFmtId="0" fontId="8" fillId="0" borderId="0" xfId="0" applyFont="1" applyFill="1" applyBorder="1" applyAlignment="1">
      <alignment wrapText="1"/>
    </xf>
    <xf numFmtId="0" fontId="72" fillId="0" borderId="0" xfId="0" applyFont="1" applyAlignment="1">
      <alignment/>
    </xf>
    <xf numFmtId="1" fontId="0" fillId="0" borderId="0" xfId="0" applyNumberFormat="1" applyAlignment="1">
      <alignment/>
    </xf>
    <xf numFmtId="0" fontId="6" fillId="35" borderId="25" xfId="0" applyFont="1" applyFill="1" applyBorder="1" applyAlignment="1">
      <alignment horizontal="center"/>
    </xf>
    <xf numFmtId="208" fontId="0" fillId="0" borderId="0" xfId="0" applyNumberFormat="1" applyAlignment="1">
      <alignment/>
    </xf>
    <xf numFmtId="211" fontId="0" fillId="0" borderId="0" xfId="48" applyNumberFormat="1" applyFont="1" applyAlignment="1">
      <alignment/>
    </xf>
    <xf numFmtId="2" fontId="0" fillId="0" borderId="0" xfId="0" applyNumberFormat="1" applyBorder="1" applyAlignment="1">
      <alignment/>
    </xf>
    <xf numFmtId="0" fontId="10" fillId="0" borderId="18" xfId="0" applyFont="1" applyBorder="1" applyAlignment="1">
      <alignment horizontal="center"/>
    </xf>
    <xf numFmtId="2" fontId="0" fillId="0" borderId="20" xfId="0" applyNumberFormat="1" applyBorder="1" applyAlignment="1">
      <alignment/>
    </xf>
    <xf numFmtId="0" fontId="72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36" borderId="18" xfId="0" applyFill="1" applyBorder="1" applyAlignment="1">
      <alignment/>
    </xf>
    <xf numFmtId="0" fontId="10" fillId="36" borderId="18" xfId="0" applyFont="1" applyFill="1" applyBorder="1" applyAlignment="1">
      <alignment/>
    </xf>
    <xf numFmtId="0" fontId="10" fillId="0" borderId="19" xfId="0" applyFont="1" applyBorder="1" applyAlignment="1">
      <alignment/>
    </xf>
    <xf numFmtId="0" fontId="1" fillId="0" borderId="19" xfId="0" applyFont="1" applyBorder="1" applyAlignment="1">
      <alignment/>
    </xf>
    <xf numFmtId="9" fontId="0" fillId="0" borderId="18" xfId="0" applyNumberFormat="1" applyBorder="1" applyAlignment="1">
      <alignment/>
    </xf>
    <xf numFmtId="1" fontId="0" fillId="0" borderId="18" xfId="0" applyNumberFormat="1" applyBorder="1" applyAlignment="1">
      <alignment/>
    </xf>
    <xf numFmtId="0" fontId="72" fillId="0" borderId="26" xfId="0" applyFont="1" applyBorder="1" applyAlignment="1">
      <alignment horizontal="center"/>
    </xf>
    <xf numFmtId="0" fontId="72" fillId="0" borderId="27" xfId="0" applyFont="1" applyBorder="1" applyAlignment="1">
      <alignment horizontal="center"/>
    </xf>
    <xf numFmtId="0" fontId="72" fillId="0" borderId="28" xfId="0" applyFon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6" xfId="0" applyNumberFormat="1" applyBorder="1" applyAlignment="1">
      <alignment/>
    </xf>
    <xf numFmtId="10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72" fillId="0" borderId="20" xfId="0" applyFont="1" applyBorder="1" applyAlignment="1">
      <alignment/>
    </xf>
    <xf numFmtId="2" fontId="0" fillId="37" borderId="19" xfId="0" applyNumberFormat="1" applyFill="1" applyBorder="1" applyAlignment="1">
      <alignment/>
    </xf>
    <xf numFmtId="2" fontId="0" fillId="0" borderId="14" xfId="0" applyNumberFormat="1" applyBorder="1" applyAlignment="1">
      <alignment/>
    </xf>
    <xf numFmtId="0" fontId="72" fillId="0" borderId="18" xfId="0" applyFont="1" applyBorder="1" applyAlignment="1">
      <alignment horizontal="center"/>
    </xf>
    <xf numFmtId="0" fontId="0" fillId="33" borderId="14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4" xfId="0" applyBorder="1" applyAlignment="1">
      <alignment horizontal="left"/>
    </xf>
    <xf numFmtId="0" fontId="73" fillId="0" borderId="13" xfId="0" applyFont="1" applyBorder="1" applyAlignment="1">
      <alignment horizontal="left"/>
    </xf>
    <xf numFmtId="0" fontId="73" fillId="0" borderId="13" xfId="0" applyFont="1" applyBorder="1" applyAlignment="1">
      <alignment/>
    </xf>
    <xf numFmtId="0" fontId="0" fillId="38" borderId="0" xfId="0" applyFill="1" applyAlignment="1">
      <alignment/>
    </xf>
    <xf numFmtId="2" fontId="0" fillId="38" borderId="0" xfId="0" applyNumberFormat="1" applyFill="1" applyBorder="1" applyAlignment="1">
      <alignment/>
    </xf>
    <xf numFmtId="0" fontId="72" fillId="0" borderId="19" xfId="0" applyFont="1" applyBorder="1" applyAlignment="1">
      <alignment/>
    </xf>
    <xf numFmtId="0" fontId="72" fillId="0" borderId="21" xfId="0" applyFont="1" applyBorder="1" applyAlignment="1">
      <alignment/>
    </xf>
    <xf numFmtId="0" fontId="18" fillId="0" borderId="29" xfId="0" applyFont="1" applyFill="1" applyBorder="1" applyAlignment="1">
      <alignment wrapText="1"/>
    </xf>
    <xf numFmtId="0" fontId="19" fillId="0" borderId="29" xfId="0" applyFont="1" applyFill="1" applyBorder="1" applyAlignment="1">
      <alignment wrapText="1"/>
    </xf>
    <xf numFmtId="0" fontId="20" fillId="0" borderId="24" xfId="0" applyFont="1" applyFill="1" applyBorder="1" applyAlignment="1">
      <alignment horizontal="left"/>
    </xf>
    <xf numFmtId="0" fontId="20" fillId="0" borderId="23" xfId="0" applyFont="1" applyFill="1" applyBorder="1" applyAlignment="1">
      <alignment horizontal="left"/>
    </xf>
    <xf numFmtId="4" fontId="18" fillId="0" borderId="11" xfId="48" applyNumberFormat="1" applyFont="1" applyFill="1" applyBorder="1" applyAlignment="1">
      <alignment horizontal="center" vertical="top" wrapText="1"/>
    </xf>
    <xf numFmtId="4" fontId="18" fillId="0" borderId="0" xfId="48" applyNumberFormat="1" applyFont="1" applyFill="1" applyBorder="1" applyAlignment="1">
      <alignment horizontal="center" vertical="top" wrapText="1"/>
    </xf>
    <xf numFmtId="4" fontId="19" fillId="0" borderId="0" xfId="48" applyNumberFormat="1" applyFont="1" applyFill="1" applyBorder="1" applyAlignment="1">
      <alignment horizontal="center" vertical="top" wrapText="1"/>
    </xf>
    <xf numFmtId="4" fontId="18" fillId="0" borderId="12" xfId="48" applyNumberFormat="1" applyFont="1" applyFill="1" applyBorder="1" applyAlignment="1">
      <alignment horizontal="center" vertical="top" wrapText="1"/>
    </xf>
    <xf numFmtId="4" fontId="18" fillId="0" borderId="14" xfId="48" applyNumberFormat="1" applyFont="1" applyFill="1" applyBorder="1" applyAlignment="1">
      <alignment horizontal="center" vertical="top" wrapText="1"/>
    </xf>
    <xf numFmtId="4" fontId="19" fillId="0" borderId="14" xfId="48" applyNumberFormat="1" applyFont="1" applyFill="1" applyBorder="1" applyAlignment="1">
      <alignment horizontal="center" vertical="top" wrapText="1"/>
    </xf>
    <xf numFmtId="0" fontId="19" fillId="0" borderId="30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9" fillId="0" borderId="32" xfId="0" applyFont="1" applyFill="1" applyBorder="1" applyAlignment="1">
      <alignment/>
    </xf>
    <xf numFmtId="0" fontId="19" fillId="0" borderId="33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18" fillId="0" borderId="29" xfId="0" applyFont="1" applyFill="1" applyBorder="1" applyAlignment="1">
      <alignment wrapText="1"/>
    </xf>
    <xf numFmtId="179" fontId="18" fillId="0" borderId="10" xfId="48" applyNumberFormat="1" applyFont="1" applyFill="1" applyBorder="1" applyAlignment="1">
      <alignment horizontal="center"/>
    </xf>
    <xf numFmtId="179" fontId="18" fillId="0" borderId="11" xfId="48" applyNumberFormat="1" applyFont="1" applyFill="1" applyBorder="1" applyAlignment="1">
      <alignment horizontal="center" vertical="top" wrapText="1"/>
    </xf>
    <xf numFmtId="179" fontId="18" fillId="0" borderId="13" xfId="48" applyNumberFormat="1" applyFont="1" applyFill="1" applyBorder="1" applyAlignment="1">
      <alignment horizontal="center"/>
    </xf>
    <xf numFmtId="179" fontId="18" fillId="0" borderId="0" xfId="48" applyNumberFormat="1" applyFont="1" applyFill="1" applyBorder="1" applyAlignment="1">
      <alignment horizontal="center" vertical="top" wrapText="1"/>
    </xf>
    <xf numFmtId="179" fontId="18" fillId="0" borderId="13" xfId="48" applyNumberFormat="1" applyFont="1" applyFill="1" applyBorder="1" applyAlignment="1">
      <alignment/>
    </xf>
    <xf numFmtId="179" fontId="18" fillId="0" borderId="0" xfId="48" applyNumberFormat="1" applyFont="1" applyFill="1" applyBorder="1" applyAlignment="1">
      <alignment horizontal="center"/>
    </xf>
    <xf numFmtId="0" fontId="18" fillId="33" borderId="29" xfId="0" applyFont="1" applyFill="1" applyBorder="1" applyAlignment="1">
      <alignment wrapText="1"/>
    </xf>
    <xf numFmtId="0" fontId="19" fillId="0" borderId="29" xfId="0" applyFont="1" applyFill="1" applyBorder="1" applyAlignment="1">
      <alignment wrapText="1"/>
    </xf>
    <xf numFmtId="0" fontId="18" fillId="0" borderId="35" xfId="0" applyFont="1" applyFill="1" applyBorder="1" applyAlignment="1">
      <alignment wrapText="1"/>
    </xf>
    <xf numFmtId="179" fontId="18" fillId="0" borderId="0" xfId="48" applyNumberFormat="1" applyFont="1" applyFill="1" applyBorder="1" applyAlignment="1">
      <alignment/>
    </xf>
    <xf numFmtId="179" fontId="46" fillId="0" borderId="0" xfId="48" applyNumberFormat="1" applyFont="1" applyFill="1" applyBorder="1" applyAlignment="1">
      <alignment/>
    </xf>
    <xf numFmtId="179" fontId="46" fillId="0" borderId="14" xfId="48" applyNumberFormat="1" applyFont="1" applyFill="1" applyBorder="1" applyAlignment="1">
      <alignment/>
    </xf>
    <xf numFmtId="179" fontId="46" fillId="0" borderId="0" xfId="48" applyNumberFormat="1" applyFont="1" applyFill="1" applyBorder="1" applyAlignment="1">
      <alignment horizontal="center"/>
    </xf>
    <xf numFmtId="179" fontId="46" fillId="0" borderId="14" xfId="48" applyNumberFormat="1" applyFont="1" applyFill="1" applyBorder="1" applyAlignment="1">
      <alignment horizontal="center"/>
    </xf>
    <xf numFmtId="0" fontId="18" fillId="0" borderId="26" xfId="0" applyFont="1" applyFill="1" applyBorder="1" applyAlignment="1">
      <alignment wrapText="1"/>
    </xf>
    <xf numFmtId="179" fontId="18" fillId="0" borderId="26" xfId="48" applyNumberFormat="1" applyFont="1" applyFill="1" applyBorder="1" applyAlignment="1">
      <alignment horizontal="center"/>
    </xf>
    <xf numFmtId="179" fontId="21" fillId="0" borderId="24" xfId="48" applyNumberFormat="1" applyFont="1" applyFill="1" applyBorder="1" applyAlignment="1">
      <alignment horizontal="center"/>
    </xf>
    <xf numFmtId="0" fontId="21" fillId="33" borderId="24" xfId="48" applyNumberFormat="1" applyFont="1" applyFill="1" applyBorder="1" applyAlignment="1">
      <alignment horizontal="center"/>
    </xf>
    <xf numFmtId="9" fontId="21" fillId="0" borderId="23" xfId="55" applyFont="1" applyFill="1" applyBorder="1" applyAlignment="1">
      <alignment horizontal="center"/>
    </xf>
    <xf numFmtId="206" fontId="21" fillId="0" borderId="24" xfId="49" applyNumberFormat="1" applyFont="1" applyFill="1" applyBorder="1" applyAlignment="1">
      <alignment horizontal="center"/>
    </xf>
    <xf numFmtId="10" fontId="21" fillId="0" borderId="24" xfId="55" applyNumberFormat="1" applyFont="1" applyFill="1" applyBorder="1" applyAlignment="1">
      <alignment horizontal="center"/>
    </xf>
    <xf numFmtId="179" fontId="21" fillId="0" borderId="24" xfId="48" applyNumberFormat="1" applyFont="1" applyFill="1" applyBorder="1" applyAlignment="1">
      <alignment horizontal="left"/>
    </xf>
    <xf numFmtId="207" fontId="21" fillId="0" borderId="24" xfId="48" applyNumberFormat="1" applyFont="1" applyFill="1" applyBorder="1" applyAlignment="1">
      <alignment horizontal="left"/>
    </xf>
    <xf numFmtId="4" fontId="19" fillId="0" borderId="16" xfId="48" applyNumberFormat="1" applyFont="1" applyFill="1" applyBorder="1" applyAlignment="1">
      <alignment horizontal="center" vertical="top" wrapText="1"/>
    </xf>
    <xf numFmtId="4" fontId="19" fillId="0" borderId="17" xfId="48" applyNumberFormat="1" applyFont="1" applyFill="1" applyBorder="1" applyAlignment="1">
      <alignment horizontal="center" vertical="top" wrapText="1"/>
    </xf>
    <xf numFmtId="0" fontId="7" fillId="0" borderId="36" xfId="0" applyFont="1" applyFill="1" applyBorder="1" applyAlignment="1">
      <alignment horizontal="left"/>
    </xf>
    <xf numFmtId="0" fontId="20" fillId="0" borderId="37" xfId="0" applyNumberFormat="1" applyFont="1" applyFill="1" applyBorder="1" applyAlignment="1">
      <alignment horizontal="center" wrapText="1"/>
    </xf>
    <xf numFmtId="0" fontId="20" fillId="0" borderId="30" xfId="0" applyNumberFormat="1" applyFont="1" applyFill="1" applyBorder="1" applyAlignment="1">
      <alignment horizontal="center" wrapText="1"/>
    </xf>
    <xf numFmtId="0" fontId="20" fillId="0" borderId="30" xfId="48" applyNumberFormat="1" applyFont="1" applyFill="1" applyBorder="1" applyAlignment="1">
      <alignment horizontal="center" wrapText="1"/>
    </xf>
    <xf numFmtId="0" fontId="20" fillId="0" borderId="31" xfId="48" applyNumberFormat="1" applyFont="1" applyFill="1" applyBorder="1" applyAlignment="1">
      <alignment horizontal="center" wrapText="1"/>
    </xf>
    <xf numFmtId="0" fontId="21" fillId="0" borderId="38" xfId="0" applyFont="1" applyFill="1" applyBorder="1" applyAlignment="1">
      <alignment horizontal="left"/>
    </xf>
    <xf numFmtId="179" fontId="21" fillId="0" borderId="39" xfId="48" applyNumberFormat="1" applyFont="1" applyFill="1" applyBorder="1" applyAlignment="1">
      <alignment horizontal="center"/>
    </xf>
    <xf numFmtId="0" fontId="21" fillId="33" borderId="39" xfId="48" applyNumberFormat="1" applyFont="1" applyFill="1" applyBorder="1" applyAlignment="1">
      <alignment horizontal="center"/>
    </xf>
    <xf numFmtId="179" fontId="21" fillId="0" borderId="40" xfId="48" applyNumberFormat="1" applyFont="1" applyFill="1" applyBorder="1" applyAlignment="1">
      <alignment horizontal="center"/>
    </xf>
    <xf numFmtId="0" fontId="21" fillId="0" borderId="41" xfId="0" applyFont="1" applyFill="1" applyBorder="1" applyAlignment="1">
      <alignment horizontal="left"/>
    </xf>
    <xf numFmtId="179" fontId="21" fillId="0" borderId="42" xfId="48" applyNumberFormat="1" applyFont="1" applyFill="1" applyBorder="1" applyAlignment="1">
      <alignment horizontal="center"/>
    </xf>
    <xf numFmtId="0" fontId="21" fillId="0" borderId="43" xfId="0" applyFont="1" applyFill="1" applyBorder="1" applyAlignment="1">
      <alignment horizontal="left"/>
    </xf>
    <xf numFmtId="179" fontId="21" fillId="0" borderId="44" xfId="48" applyNumberFormat="1" applyFont="1" applyFill="1" applyBorder="1" applyAlignment="1">
      <alignment horizontal="center"/>
    </xf>
    <xf numFmtId="0" fontId="21" fillId="33" borderId="44" xfId="48" applyNumberFormat="1" applyFont="1" applyFill="1" applyBorder="1" applyAlignment="1">
      <alignment horizontal="center"/>
    </xf>
    <xf numFmtId="179" fontId="21" fillId="0" borderId="45" xfId="48" applyNumberFormat="1" applyFont="1" applyFill="1" applyBorder="1" applyAlignment="1">
      <alignment horizontal="center"/>
    </xf>
    <xf numFmtId="179" fontId="0" fillId="0" borderId="18" xfId="0" applyNumberFormat="1" applyBorder="1" applyAlignment="1">
      <alignment/>
    </xf>
    <xf numFmtId="8" fontId="0" fillId="0" borderId="0" xfId="0" applyNumberFormat="1" applyAlignment="1">
      <alignment/>
    </xf>
    <xf numFmtId="0" fontId="47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73" fillId="0" borderId="0" xfId="0" applyFont="1" applyAlignment="1">
      <alignment/>
    </xf>
    <xf numFmtId="10" fontId="0" fillId="0" borderId="20" xfId="0" applyNumberFormat="1" applyBorder="1" applyAlignment="1">
      <alignment/>
    </xf>
    <xf numFmtId="10" fontId="0" fillId="0" borderId="21" xfId="0" applyNumberFormat="1" applyBorder="1" applyAlignment="1">
      <alignment/>
    </xf>
    <xf numFmtId="179" fontId="0" fillId="0" borderId="0" xfId="0" applyNumberFormat="1" applyBorder="1" applyAlignment="1">
      <alignment/>
    </xf>
    <xf numFmtId="0" fontId="23" fillId="0" borderId="0" xfId="53">
      <alignment/>
      <protection/>
    </xf>
    <xf numFmtId="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9" fontId="0" fillId="0" borderId="14" xfId="0" applyNumberFormat="1" applyBorder="1" applyAlignment="1">
      <alignment/>
    </xf>
    <xf numFmtId="179" fontId="0" fillId="37" borderId="0" xfId="0" applyNumberFormat="1" applyFill="1" applyBorder="1" applyAlignment="1">
      <alignment/>
    </xf>
    <xf numFmtId="9" fontId="0" fillId="37" borderId="14" xfId="0" applyNumberFormat="1" applyFill="1" applyBorder="1" applyAlignment="1">
      <alignment/>
    </xf>
    <xf numFmtId="179" fontId="0" fillId="0" borderId="16" xfId="0" applyNumberFormat="1" applyBorder="1" applyAlignment="1">
      <alignment/>
    </xf>
    <xf numFmtId="9" fontId="0" fillId="0" borderId="17" xfId="0" applyNumberFormat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179" fontId="0" fillId="0" borderId="0" xfId="0" applyNumberFormat="1" applyFont="1" applyBorder="1" applyAlignment="1">
      <alignment/>
    </xf>
    <xf numFmtId="9" fontId="0" fillId="0" borderId="14" xfId="0" applyNumberFormat="1" applyFont="1" applyBorder="1" applyAlignment="1">
      <alignment/>
    </xf>
    <xf numFmtId="0" fontId="72" fillId="39" borderId="13" xfId="0" applyFont="1" applyFill="1" applyBorder="1" applyAlignment="1">
      <alignment/>
    </xf>
    <xf numFmtId="0" fontId="72" fillId="0" borderId="27" xfId="0" applyFont="1" applyBorder="1" applyAlignment="1">
      <alignment/>
    </xf>
    <xf numFmtId="0" fontId="0" fillId="0" borderId="0" xfId="0" applyFill="1" applyAlignment="1">
      <alignment/>
    </xf>
    <xf numFmtId="0" fontId="10" fillId="0" borderId="19" xfId="0" applyFont="1" applyBorder="1" applyAlignment="1">
      <alignment horizontal="center"/>
    </xf>
    <xf numFmtId="0" fontId="0" fillId="0" borderId="15" xfId="0" applyFill="1" applyBorder="1" applyAlignment="1">
      <alignment/>
    </xf>
    <xf numFmtId="2" fontId="0" fillId="0" borderId="17" xfId="0" applyNumberFormat="1" applyFill="1" applyBorder="1" applyAlignment="1">
      <alignment/>
    </xf>
    <xf numFmtId="0" fontId="0" fillId="0" borderId="0" xfId="0" applyFill="1" applyAlignment="1">
      <alignment/>
    </xf>
    <xf numFmtId="0" fontId="74" fillId="0" borderId="46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179" fontId="19" fillId="0" borderId="0" xfId="48" applyNumberFormat="1" applyFont="1" applyFill="1" applyBorder="1" applyAlignment="1">
      <alignment horizontal="center"/>
    </xf>
    <xf numFmtId="1" fontId="0" fillId="34" borderId="0" xfId="0" applyNumberFormat="1" applyFill="1" applyAlignment="1">
      <alignment/>
    </xf>
    <xf numFmtId="0" fontId="74" fillId="0" borderId="47" xfId="0" applyFont="1" applyFill="1" applyBorder="1" applyAlignment="1">
      <alignment horizontal="left" vertical="top" wrapText="1"/>
    </xf>
    <xf numFmtId="0" fontId="74" fillId="0" borderId="48" xfId="0" applyFont="1" applyFill="1" applyBorder="1" applyAlignment="1">
      <alignment vertical="top"/>
    </xf>
    <xf numFmtId="0" fontId="74" fillId="0" borderId="49" xfId="0" applyFont="1" applyFill="1" applyBorder="1" applyAlignment="1">
      <alignment vertical="top"/>
    </xf>
    <xf numFmtId="0" fontId="75" fillId="0" borderId="50" xfId="0" applyFont="1" applyFill="1" applyBorder="1" applyAlignment="1">
      <alignment horizontal="left" vertical="top" wrapText="1"/>
    </xf>
    <xf numFmtId="0" fontId="76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75" fillId="0" borderId="51" xfId="0" applyFont="1" applyFill="1" applyBorder="1" applyAlignment="1">
      <alignment horizontal="left" vertical="top" wrapText="1"/>
    </xf>
    <xf numFmtId="0" fontId="76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72" fillId="0" borderId="0" xfId="0" applyFont="1" applyFill="1" applyBorder="1" applyAlignment="1">
      <alignment horizontal="left" vertical="top" wrapText="1"/>
    </xf>
    <xf numFmtId="2" fontId="0" fillId="37" borderId="21" xfId="0" applyNumberFormat="1" applyFill="1" applyBorder="1" applyAlignment="1">
      <alignment/>
    </xf>
    <xf numFmtId="0" fontId="24" fillId="0" borderId="24" xfId="0" applyFont="1" applyBorder="1" applyAlignment="1">
      <alignment/>
    </xf>
    <xf numFmtId="0" fontId="24" fillId="0" borderId="24" xfId="0" applyFont="1" applyBorder="1" applyAlignment="1">
      <alignment horizontal="center"/>
    </xf>
    <xf numFmtId="0" fontId="25" fillId="0" borderId="24" xfId="0" applyFont="1" applyBorder="1" applyAlignment="1">
      <alignment/>
    </xf>
    <xf numFmtId="0" fontId="25" fillId="0" borderId="24" xfId="0" applyFont="1" applyBorder="1" applyAlignment="1">
      <alignment horizontal="center"/>
    </xf>
    <xf numFmtId="2" fontId="25" fillId="0" borderId="24" xfId="0" applyNumberFormat="1" applyFont="1" applyBorder="1" applyAlignment="1">
      <alignment horizontal="center"/>
    </xf>
    <xf numFmtId="10" fontId="25" fillId="0" borderId="24" xfId="0" applyNumberFormat="1" applyFont="1" applyBorder="1" applyAlignment="1">
      <alignment horizontal="center"/>
    </xf>
    <xf numFmtId="0" fontId="25" fillId="0" borderId="24" xfId="0" applyFont="1" applyFill="1" applyBorder="1" applyAlignment="1">
      <alignment/>
    </xf>
    <xf numFmtId="0" fontId="25" fillId="0" borderId="24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0" fontId="25" fillId="0" borderId="24" xfId="0" applyNumberFormat="1" applyFont="1" applyFill="1" applyBorder="1" applyAlignment="1">
      <alignment horizontal="center"/>
    </xf>
    <xf numFmtId="0" fontId="25" fillId="37" borderId="24" xfId="0" applyFont="1" applyFill="1" applyBorder="1" applyAlignment="1">
      <alignment/>
    </xf>
    <xf numFmtId="0" fontId="25" fillId="37" borderId="24" xfId="0" applyFont="1" applyFill="1" applyBorder="1" applyAlignment="1">
      <alignment horizontal="center"/>
    </xf>
    <xf numFmtId="2" fontId="25" fillId="37" borderId="24" xfId="0" applyNumberFormat="1" applyFont="1" applyFill="1" applyBorder="1" applyAlignment="1">
      <alignment horizontal="center"/>
    </xf>
    <xf numFmtId="10" fontId="25" fillId="37" borderId="24" xfId="0" applyNumberFormat="1" applyFont="1" applyFill="1" applyBorder="1" applyAlignment="1">
      <alignment horizontal="center"/>
    </xf>
    <xf numFmtId="0" fontId="77" fillId="0" borderId="0" xfId="0" applyFont="1" applyAlignment="1">
      <alignment/>
    </xf>
    <xf numFmtId="0" fontId="26" fillId="0" borderId="0" xfId="0" applyFont="1" applyAlignment="1">
      <alignment vertical="top" wrapText="1"/>
    </xf>
    <xf numFmtId="0" fontId="0" fillId="40" borderId="52" xfId="0" applyFill="1" applyBorder="1" applyAlignment="1">
      <alignment wrapText="1"/>
    </xf>
    <xf numFmtId="0" fontId="27" fillId="40" borderId="0" xfId="0" applyFont="1" applyFill="1" applyAlignment="1">
      <alignment horizontal="center" wrapText="1"/>
    </xf>
    <xf numFmtId="0" fontId="0" fillId="40" borderId="0" xfId="0" applyFill="1" applyAlignment="1">
      <alignment wrapText="1"/>
    </xf>
    <xf numFmtId="0" fontId="0" fillId="41" borderId="0" xfId="0" applyFill="1" applyAlignment="1">
      <alignment/>
    </xf>
    <xf numFmtId="0" fontId="0" fillId="41" borderId="52" xfId="0" applyFill="1" applyBorder="1" applyAlignment="1">
      <alignment wrapText="1"/>
    </xf>
    <xf numFmtId="14" fontId="26" fillId="41" borderId="0" xfId="0" applyNumberFormat="1" applyFont="1" applyFill="1" applyAlignment="1">
      <alignment horizontal="right" wrapText="1"/>
    </xf>
    <xf numFmtId="0" fontId="26" fillId="42" borderId="52" xfId="0" applyFont="1" applyFill="1" applyBorder="1" applyAlignment="1">
      <alignment wrapText="1"/>
    </xf>
    <xf numFmtId="0" fontId="26" fillId="42" borderId="0" xfId="0" applyFont="1" applyFill="1" applyAlignment="1">
      <alignment horizontal="right" wrapText="1"/>
    </xf>
    <xf numFmtId="0" fontId="26" fillId="42" borderId="0" xfId="0" applyFont="1" applyFill="1" applyAlignment="1">
      <alignment horizontal="right" vertical="top" wrapText="1"/>
    </xf>
    <xf numFmtId="0" fontId="26" fillId="42" borderId="53" xfId="0" applyFont="1" applyFill="1" applyBorder="1" applyAlignment="1">
      <alignment wrapText="1"/>
    </xf>
    <xf numFmtId="0" fontId="26" fillId="42" borderId="54" xfId="0" applyFont="1" applyFill="1" applyBorder="1" applyAlignment="1">
      <alignment horizontal="right" vertical="top" wrapText="1"/>
    </xf>
    <xf numFmtId="0" fontId="26" fillId="37" borderId="0" xfId="0" applyFont="1" applyFill="1" applyAlignment="1">
      <alignment horizontal="right" vertical="top" wrapText="1"/>
    </xf>
    <xf numFmtId="0" fontId="0" fillId="0" borderId="55" xfId="0" applyBorder="1" applyAlignment="1">
      <alignment wrapText="1"/>
    </xf>
    <xf numFmtId="0" fontId="0" fillId="0" borderId="55" xfId="0" applyFill="1" applyBorder="1" applyAlignment="1">
      <alignment/>
    </xf>
    <xf numFmtId="0" fontId="26" fillId="0" borderId="55" xfId="0" applyFont="1" applyFill="1" applyBorder="1" applyAlignment="1">
      <alignment horizontal="right" wrapText="1"/>
    </xf>
    <xf numFmtId="0" fontId="26" fillId="0" borderId="55" xfId="0" applyFont="1" applyFill="1" applyBorder="1" applyAlignment="1">
      <alignment horizontal="right" vertical="top" wrapText="1"/>
    </xf>
    <xf numFmtId="0" fontId="26" fillId="0" borderId="56" xfId="0" applyFont="1" applyFill="1" applyBorder="1" applyAlignment="1">
      <alignment horizontal="right" vertical="top" wrapText="1"/>
    </xf>
    <xf numFmtId="0" fontId="78" fillId="0" borderId="57" xfId="0" applyFont="1" applyBorder="1" applyAlignment="1">
      <alignment/>
    </xf>
    <xf numFmtId="0" fontId="78" fillId="0" borderId="58" xfId="0" applyFont="1" applyBorder="1" applyAlignment="1">
      <alignment/>
    </xf>
    <xf numFmtId="1" fontId="0" fillId="0" borderId="13" xfId="0" applyNumberFormat="1" applyBorder="1" applyAlignment="1">
      <alignment/>
    </xf>
    <xf numFmtId="179" fontId="67" fillId="0" borderId="0" xfId="0" applyNumberFormat="1" applyFont="1" applyBorder="1" applyAlignment="1">
      <alignment/>
    </xf>
    <xf numFmtId="0" fontId="0" fillId="39" borderId="13" xfId="0" applyFill="1" applyBorder="1" applyAlignment="1">
      <alignment/>
    </xf>
    <xf numFmtId="9" fontId="67" fillId="0" borderId="14" xfId="0" applyNumberFormat="1" applyFont="1" applyBorder="1" applyAlignment="1">
      <alignment/>
    </xf>
    <xf numFmtId="179" fontId="67" fillId="0" borderId="16" xfId="0" applyNumberFormat="1" applyFont="1" applyBorder="1" applyAlignment="1">
      <alignment/>
    </xf>
    <xf numFmtId="9" fontId="67" fillId="0" borderId="17" xfId="0" applyNumberFormat="1" applyFont="1" applyBorder="1" applyAlignment="1">
      <alignment/>
    </xf>
    <xf numFmtId="179" fontId="0" fillId="0" borderId="40" xfId="0" applyNumberFormat="1" applyBorder="1" applyAlignment="1">
      <alignment/>
    </xf>
    <xf numFmtId="179" fontId="0" fillId="0" borderId="42" xfId="0" applyNumberFormat="1" applyBorder="1" applyAlignment="1">
      <alignment/>
    </xf>
    <xf numFmtId="179" fontId="0" fillId="0" borderId="45" xfId="0" applyNumberFormat="1" applyBorder="1" applyAlignment="1">
      <alignment/>
    </xf>
    <xf numFmtId="0" fontId="72" fillId="0" borderId="38" xfId="0" applyFont="1" applyBorder="1" applyAlignment="1">
      <alignment/>
    </xf>
    <xf numFmtId="0" fontId="72" fillId="0" borderId="41" xfId="0" applyFont="1" applyBorder="1" applyAlignment="1">
      <alignment/>
    </xf>
    <xf numFmtId="0" fontId="72" fillId="0" borderId="43" xfId="0" applyFont="1" applyBorder="1" applyAlignment="1">
      <alignment/>
    </xf>
    <xf numFmtId="4" fontId="0" fillId="0" borderId="40" xfId="0" applyNumberFormat="1" applyBorder="1" applyAlignment="1">
      <alignment/>
    </xf>
    <xf numFmtId="4" fontId="0" fillId="0" borderId="42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39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0" fillId="0" borderId="42" xfId="0" applyNumberFormat="1" applyBorder="1" applyAlignment="1">
      <alignment/>
    </xf>
    <xf numFmtId="0" fontId="0" fillId="0" borderId="42" xfId="0" applyBorder="1" applyAlignment="1">
      <alignment/>
    </xf>
    <xf numFmtId="2" fontId="0" fillId="0" borderId="44" xfId="0" applyNumberFormat="1" applyBorder="1" applyAlignment="1">
      <alignment/>
    </xf>
    <xf numFmtId="2" fontId="0" fillId="0" borderId="45" xfId="0" applyNumberFormat="1" applyBorder="1" applyAlignment="1">
      <alignment/>
    </xf>
    <xf numFmtId="0" fontId="72" fillId="0" borderId="26" xfId="0" applyFont="1" applyBorder="1" applyAlignment="1">
      <alignment/>
    </xf>
    <xf numFmtId="0" fontId="23" fillId="0" borderId="0" xfId="53" applyFill="1">
      <alignment/>
      <protection/>
    </xf>
    <xf numFmtId="0" fontId="72" fillId="0" borderId="18" xfId="0" applyFont="1" applyFill="1" applyBorder="1" applyAlignment="1">
      <alignment/>
    </xf>
    <xf numFmtId="0" fontId="0" fillId="0" borderId="13" xfId="0" applyFill="1" applyBorder="1" applyAlignment="1">
      <alignment/>
    </xf>
    <xf numFmtId="9" fontId="53" fillId="0" borderId="0" xfId="0" applyNumberFormat="1" applyFont="1" applyFill="1" applyAlignment="1">
      <alignment vertical="center"/>
    </xf>
    <xf numFmtId="0" fontId="0" fillId="15" borderId="13" xfId="0" applyFill="1" applyBorder="1" applyAlignment="1">
      <alignment/>
    </xf>
    <xf numFmtId="179" fontId="0" fillId="15" borderId="0" xfId="0" applyNumberFormat="1" applyFill="1" applyBorder="1" applyAlignment="1">
      <alignment/>
    </xf>
    <xf numFmtId="9" fontId="0" fillId="15" borderId="14" xfId="0" applyNumberFormat="1" applyFill="1" applyBorder="1" applyAlignment="1">
      <alignment/>
    </xf>
    <xf numFmtId="9" fontId="0" fillId="0" borderId="0" xfId="0" applyNumberFormat="1" applyFill="1" applyAlignment="1">
      <alignment vertical="center"/>
    </xf>
    <xf numFmtId="9" fontId="0" fillId="0" borderId="14" xfId="0" applyNumberFormat="1" applyFill="1" applyBorder="1" applyAlignment="1">
      <alignment/>
    </xf>
    <xf numFmtId="179" fontId="0" fillId="0" borderId="0" xfId="0" applyNumberFormat="1" applyFill="1" applyBorder="1" applyAlignment="1">
      <alignment/>
    </xf>
    <xf numFmtId="0" fontId="0" fillId="0" borderId="24" xfId="0" applyBorder="1" applyAlignment="1">
      <alignment/>
    </xf>
    <xf numFmtId="179" fontId="53" fillId="39" borderId="24" xfId="0" applyNumberFormat="1" applyFont="1" applyFill="1" applyBorder="1" applyAlignment="1">
      <alignment/>
    </xf>
    <xf numFmtId="0" fontId="0" fillId="0" borderId="41" xfId="0" applyBorder="1" applyAlignment="1">
      <alignment/>
    </xf>
    <xf numFmtId="9" fontId="0" fillId="0" borderId="42" xfId="0" applyNumberFormat="1" applyBorder="1" applyAlignment="1">
      <alignment/>
    </xf>
    <xf numFmtId="10" fontId="0" fillId="0" borderId="24" xfId="55" applyNumberFormat="1" applyFont="1" applyBorder="1" applyAlignment="1">
      <alignment/>
    </xf>
    <xf numFmtId="10" fontId="0" fillId="0" borderId="42" xfId="55" applyNumberFormat="1" applyFont="1" applyBorder="1" applyAlignment="1">
      <alignment/>
    </xf>
    <xf numFmtId="0" fontId="0" fillId="36" borderId="13" xfId="0" applyFill="1" applyBorder="1" applyAlignment="1">
      <alignment/>
    </xf>
    <xf numFmtId="179" fontId="0" fillId="36" borderId="0" xfId="0" applyNumberFormat="1" applyFill="1" applyBorder="1" applyAlignment="1">
      <alignment/>
    </xf>
    <xf numFmtId="9" fontId="0" fillId="36" borderId="14" xfId="0" applyNumberFormat="1" applyFill="1" applyBorder="1" applyAlignment="1">
      <alignment/>
    </xf>
    <xf numFmtId="0" fontId="0" fillId="36" borderId="10" xfId="0" applyFill="1" applyBorder="1" applyAlignment="1">
      <alignment/>
    </xf>
    <xf numFmtId="0" fontId="53" fillId="36" borderId="13" xfId="0" applyFont="1" applyFill="1" applyBorder="1" applyAlignment="1">
      <alignment/>
    </xf>
    <xf numFmtId="179" fontId="67" fillId="36" borderId="0" xfId="0" applyNumberFormat="1" applyFont="1" applyFill="1" applyBorder="1" applyAlignment="1">
      <alignment/>
    </xf>
    <xf numFmtId="179" fontId="67" fillId="15" borderId="0" xfId="0" applyNumberFormat="1" applyFont="1" applyFill="1" applyBorder="1" applyAlignment="1">
      <alignment/>
    </xf>
    <xf numFmtId="0" fontId="0" fillId="13" borderId="13" xfId="0" applyFill="1" applyBorder="1" applyAlignment="1">
      <alignment/>
    </xf>
    <xf numFmtId="179" fontId="0" fillId="13" borderId="0" xfId="0" applyNumberFormat="1" applyFill="1" applyBorder="1" applyAlignment="1">
      <alignment/>
    </xf>
    <xf numFmtId="9" fontId="0" fillId="13" borderId="14" xfId="0" applyNumberFormat="1" applyFill="1" applyBorder="1" applyAlignment="1">
      <alignment/>
    </xf>
    <xf numFmtId="0" fontId="53" fillId="13" borderId="13" xfId="0" applyFont="1" applyFill="1" applyBorder="1" applyAlignment="1">
      <alignment/>
    </xf>
    <xf numFmtId="179" fontId="67" fillId="13" borderId="0" xfId="0" applyNumberFormat="1" applyFont="1" applyFill="1" applyBorder="1" applyAlignment="1">
      <alignment/>
    </xf>
    <xf numFmtId="179" fontId="53" fillId="36" borderId="0" xfId="0" applyNumberFormat="1" applyFont="1" applyFill="1" applyBorder="1" applyAlignment="1">
      <alignment/>
    </xf>
    <xf numFmtId="9" fontId="53" fillId="36" borderId="14" xfId="0" applyNumberFormat="1" applyFont="1" applyFill="1" applyBorder="1" applyAlignment="1">
      <alignment/>
    </xf>
    <xf numFmtId="179" fontId="18" fillId="0" borderId="12" xfId="48" applyNumberFormat="1" applyFont="1" applyFill="1" applyBorder="1" applyAlignment="1">
      <alignment horizontal="center" vertical="top" wrapText="1"/>
    </xf>
    <xf numFmtId="179" fontId="18" fillId="0" borderId="14" xfId="48" applyNumberFormat="1" applyFont="1" applyFill="1" applyBorder="1" applyAlignment="1">
      <alignment horizontal="center" vertical="top" wrapText="1"/>
    </xf>
    <xf numFmtId="179" fontId="18" fillId="0" borderId="14" xfId="48" applyNumberFormat="1" applyFont="1" applyFill="1" applyBorder="1" applyAlignment="1">
      <alignment horizontal="center"/>
    </xf>
    <xf numFmtId="179" fontId="19" fillId="0" borderId="14" xfId="48" applyNumberFormat="1" applyFont="1" applyFill="1" applyBorder="1" applyAlignment="1">
      <alignment horizontal="center"/>
    </xf>
    <xf numFmtId="179" fontId="18" fillId="0" borderId="14" xfId="48" applyNumberFormat="1" applyFont="1" applyFill="1" applyBorder="1" applyAlignment="1">
      <alignment/>
    </xf>
    <xf numFmtId="179" fontId="18" fillId="0" borderId="18" xfId="48" applyNumberFormat="1" applyFont="1" applyFill="1" applyBorder="1" applyAlignment="1">
      <alignment horizontal="center"/>
    </xf>
    <xf numFmtId="9" fontId="0" fillId="0" borderId="0" xfId="55" applyFont="1" applyAlignment="1">
      <alignment/>
    </xf>
    <xf numFmtId="10" fontId="0" fillId="0" borderId="0" xfId="55" applyNumberFormat="1" applyFont="1" applyAlignment="1">
      <alignment/>
    </xf>
    <xf numFmtId="0" fontId="72" fillId="39" borderId="0" xfId="0" applyFont="1" applyFill="1" applyBorder="1" applyAlignment="1">
      <alignment/>
    </xf>
    <xf numFmtId="0" fontId="72" fillId="39" borderId="14" xfId="0" applyFont="1" applyFill="1" applyBorder="1" applyAlignment="1">
      <alignment/>
    </xf>
    <xf numFmtId="9" fontId="0" fillId="43" borderId="41" xfId="0" applyNumberFormat="1" applyFill="1" applyBorder="1" applyAlignment="1">
      <alignment vertical="center"/>
    </xf>
    <xf numFmtId="10" fontId="0" fillId="43" borderId="42" xfId="55" applyNumberFormat="1" applyFont="1" applyFill="1" applyBorder="1" applyAlignment="1">
      <alignment/>
    </xf>
    <xf numFmtId="9" fontId="0" fillId="43" borderId="41" xfId="0" applyNumberFormat="1" applyFill="1" applyBorder="1" applyAlignment="1">
      <alignment/>
    </xf>
    <xf numFmtId="9" fontId="0" fillId="44" borderId="41" xfId="0" applyNumberFormat="1" applyFill="1" applyBorder="1" applyAlignment="1">
      <alignment vertical="center"/>
    </xf>
    <xf numFmtId="9" fontId="0" fillId="44" borderId="41" xfId="0" applyNumberFormat="1" applyFill="1" applyBorder="1" applyAlignment="1">
      <alignment/>
    </xf>
    <xf numFmtId="9" fontId="0" fillId="14" borderId="41" xfId="0" applyNumberFormat="1" applyFill="1" applyBorder="1" applyAlignment="1">
      <alignment vertical="center"/>
    </xf>
    <xf numFmtId="10" fontId="0" fillId="14" borderId="24" xfId="55" applyNumberFormat="1" applyFont="1" applyFill="1" applyBorder="1" applyAlignment="1">
      <alignment/>
    </xf>
    <xf numFmtId="10" fontId="0" fillId="14" borderId="42" xfId="55" applyNumberFormat="1" applyFont="1" applyFill="1" applyBorder="1" applyAlignment="1">
      <alignment/>
    </xf>
    <xf numFmtId="9" fontId="0" fillId="14" borderId="41" xfId="0" applyNumberFormat="1" applyFill="1" applyBorder="1" applyAlignment="1">
      <alignment/>
    </xf>
    <xf numFmtId="9" fontId="0" fillId="16" borderId="41" xfId="0" applyNumberFormat="1" applyFill="1" applyBorder="1" applyAlignment="1">
      <alignment vertical="center"/>
    </xf>
    <xf numFmtId="10" fontId="53" fillId="16" borderId="24" xfId="55" applyNumberFormat="1" applyFont="1" applyFill="1" applyBorder="1" applyAlignment="1">
      <alignment/>
    </xf>
    <xf numFmtId="10" fontId="0" fillId="16" borderId="42" xfId="55" applyNumberFormat="1" applyFont="1" applyFill="1" applyBorder="1" applyAlignment="1">
      <alignment/>
    </xf>
    <xf numFmtId="9" fontId="0" fillId="16" borderId="41" xfId="0" applyNumberFormat="1" applyFill="1" applyBorder="1" applyAlignment="1">
      <alignment/>
    </xf>
    <xf numFmtId="9" fontId="0" fillId="16" borderId="43" xfId="0" applyNumberFormat="1" applyFill="1" applyBorder="1" applyAlignment="1">
      <alignment/>
    </xf>
    <xf numFmtId="10" fontId="53" fillId="16" borderId="44" xfId="55" applyNumberFormat="1" applyFont="1" applyFill="1" applyBorder="1" applyAlignment="1">
      <alignment/>
    </xf>
    <xf numFmtId="10" fontId="0" fillId="16" borderId="45" xfId="55" applyNumberFormat="1" applyFont="1" applyFill="1" applyBorder="1" applyAlignment="1">
      <alignment/>
    </xf>
    <xf numFmtId="10" fontId="0" fillId="44" borderId="24" xfId="0" applyNumberFormat="1" applyFill="1" applyBorder="1" applyAlignment="1">
      <alignment/>
    </xf>
    <xf numFmtId="10" fontId="0" fillId="44" borderId="42" xfId="0" applyNumberFormat="1" applyFill="1" applyBorder="1" applyAlignment="1">
      <alignment/>
    </xf>
    <xf numFmtId="9" fontId="0" fillId="17" borderId="41" xfId="0" applyNumberFormat="1" applyFill="1" applyBorder="1" applyAlignment="1">
      <alignment vertical="center"/>
    </xf>
    <xf numFmtId="9" fontId="0" fillId="17" borderId="41" xfId="0" applyNumberFormat="1" applyFill="1" applyBorder="1" applyAlignment="1">
      <alignment/>
    </xf>
    <xf numFmtId="9" fontId="0" fillId="17" borderId="43" xfId="0" applyNumberFormat="1" applyFill="1" applyBorder="1" applyAlignment="1">
      <alignment/>
    </xf>
    <xf numFmtId="9" fontId="0" fillId="18" borderId="41" xfId="0" applyNumberFormat="1" applyFill="1" applyBorder="1" applyAlignment="1">
      <alignment vertical="center"/>
    </xf>
    <xf numFmtId="10" fontId="53" fillId="18" borderId="24" xfId="0" applyNumberFormat="1" applyFont="1" applyFill="1" applyBorder="1" applyAlignment="1">
      <alignment/>
    </xf>
    <xf numFmtId="10" fontId="0" fillId="18" borderId="42" xfId="0" applyNumberFormat="1" applyFill="1" applyBorder="1" applyAlignment="1">
      <alignment/>
    </xf>
    <xf numFmtId="9" fontId="0" fillId="18" borderId="41" xfId="0" applyNumberFormat="1" applyFill="1" applyBorder="1" applyAlignment="1">
      <alignment/>
    </xf>
    <xf numFmtId="9" fontId="0" fillId="18" borderId="43" xfId="0" applyNumberFormat="1" applyFill="1" applyBorder="1" applyAlignment="1">
      <alignment/>
    </xf>
    <xf numFmtId="10" fontId="53" fillId="18" borderId="44" xfId="0" applyNumberFormat="1" applyFont="1" applyFill="1" applyBorder="1" applyAlignment="1">
      <alignment/>
    </xf>
    <xf numFmtId="10" fontId="0" fillId="18" borderId="45" xfId="0" applyNumberFormat="1" applyFill="1" applyBorder="1" applyAlignment="1">
      <alignment/>
    </xf>
    <xf numFmtId="9" fontId="0" fillId="9" borderId="41" xfId="0" applyNumberFormat="1" applyFill="1" applyBorder="1" applyAlignment="1">
      <alignment vertical="center"/>
    </xf>
    <xf numFmtId="10" fontId="0" fillId="9" borderId="24" xfId="55" applyNumberFormat="1" applyFont="1" applyFill="1" applyBorder="1" applyAlignment="1">
      <alignment/>
    </xf>
    <xf numFmtId="10" fontId="0" fillId="9" borderId="42" xfId="55" applyNumberFormat="1" applyFont="1" applyFill="1" applyBorder="1" applyAlignment="1">
      <alignment/>
    </xf>
    <xf numFmtId="9" fontId="0" fillId="9" borderId="41" xfId="0" applyNumberFormat="1" applyFill="1" applyBorder="1" applyAlignment="1">
      <alignment/>
    </xf>
    <xf numFmtId="9" fontId="0" fillId="15" borderId="41" xfId="0" applyNumberFormat="1" applyFill="1" applyBorder="1" applyAlignment="1">
      <alignment vertical="center"/>
    </xf>
    <xf numFmtId="10" fontId="0" fillId="15" borderId="42" xfId="55" applyNumberFormat="1" applyFont="1" applyFill="1" applyBorder="1" applyAlignment="1">
      <alignment/>
    </xf>
    <xf numFmtId="9" fontId="0" fillId="15" borderId="41" xfId="0" applyNumberFormat="1" applyFill="1" applyBorder="1" applyAlignment="1">
      <alignment/>
    </xf>
    <xf numFmtId="9" fontId="0" fillId="45" borderId="41" xfId="0" applyNumberFormat="1" applyFill="1" applyBorder="1" applyAlignment="1">
      <alignment vertical="center"/>
    </xf>
    <xf numFmtId="10" fontId="53" fillId="45" borderId="24" xfId="55" applyNumberFormat="1" applyFont="1" applyFill="1" applyBorder="1" applyAlignment="1">
      <alignment/>
    </xf>
    <xf numFmtId="10" fontId="0" fillId="45" borderId="42" xfId="55" applyNumberFormat="1" applyFont="1" applyFill="1" applyBorder="1" applyAlignment="1">
      <alignment/>
    </xf>
    <xf numFmtId="9" fontId="0" fillId="45" borderId="41" xfId="0" applyNumberFormat="1" applyFill="1" applyBorder="1" applyAlignment="1">
      <alignment/>
    </xf>
    <xf numFmtId="9" fontId="0" fillId="45" borderId="43" xfId="0" applyNumberFormat="1" applyFill="1" applyBorder="1" applyAlignment="1">
      <alignment/>
    </xf>
    <xf numFmtId="10" fontId="53" fillId="45" borderId="44" xfId="55" applyNumberFormat="1" applyFont="1" applyFill="1" applyBorder="1" applyAlignment="1">
      <alignment/>
    </xf>
    <xf numFmtId="10" fontId="0" fillId="45" borderId="45" xfId="55" applyNumberFormat="1" applyFont="1" applyFill="1" applyBorder="1" applyAlignment="1">
      <alignment/>
    </xf>
    <xf numFmtId="10" fontId="0" fillId="45" borderId="24" xfId="55" applyNumberFormat="1" applyFont="1" applyFill="1" applyBorder="1" applyAlignment="1">
      <alignment/>
    </xf>
    <xf numFmtId="9" fontId="0" fillId="46" borderId="41" xfId="0" applyNumberFormat="1" applyFill="1" applyBorder="1" applyAlignment="1">
      <alignment vertical="center"/>
    </xf>
    <xf numFmtId="10" fontId="53" fillId="46" borderId="24" xfId="55" applyNumberFormat="1" applyFont="1" applyFill="1" applyBorder="1" applyAlignment="1">
      <alignment/>
    </xf>
    <xf numFmtId="10" fontId="0" fillId="46" borderId="42" xfId="55" applyNumberFormat="1" applyFont="1" applyFill="1" applyBorder="1" applyAlignment="1">
      <alignment/>
    </xf>
    <xf numFmtId="9" fontId="0" fillId="46" borderId="41" xfId="0" applyNumberFormat="1" applyFill="1" applyBorder="1" applyAlignment="1">
      <alignment/>
    </xf>
    <xf numFmtId="9" fontId="0" fillId="46" borderId="43" xfId="0" applyNumberFormat="1" applyFill="1" applyBorder="1" applyAlignment="1">
      <alignment/>
    </xf>
    <xf numFmtId="10" fontId="53" fillId="46" borderId="44" xfId="55" applyNumberFormat="1" applyFont="1" applyFill="1" applyBorder="1" applyAlignment="1">
      <alignment/>
    </xf>
    <xf numFmtId="10" fontId="0" fillId="46" borderId="45" xfId="55" applyNumberFormat="1" applyFont="1" applyFill="1" applyBorder="1" applyAlignment="1">
      <alignment/>
    </xf>
    <xf numFmtId="10" fontId="0" fillId="15" borderId="24" xfId="55" applyNumberFormat="1" applyFont="1" applyFill="1" applyBorder="1" applyAlignment="1">
      <alignment/>
    </xf>
    <xf numFmtId="10" fontId="53" fillId="18" borderId="24" xfId="55" applyNumberFormat="1" applyFont="1" applyFill="1" applyBorder="1" applyAlignment="1">
      <alignment/>
    </xf>
    <xf numFmtId="10" fontId="0" fillId="18" borderId="42" xfId="55" applyNumberFormat="1" applyFont="1" applyFill="1" applyBorder="1" applyAlignment="1">
      <alignment/>
    </xf>
    <xf numFmtId="10" fontId="53" fillId="18" borderId="44" xfId="55" applyNumberFormat="1" applyFont="1" applyFill="1" applyBorder="1" applyAlignment="1">
      <alignment/>
    </xf>
    <xf numFmtId="10" fontId="0" fillId="18" borderId="45" xfId="55" applyNumberFormat="1" applyFont="1" applyFill="1" applyBorder="1" applyAlignment="1">
      <alignment/>
    </xf>
    <xf numFmtId="9" fontId="0" fillId="13" borderId="41" xfId="0" applyNumberFormat="1" applyFill="1" applyBorder="1" applyAlignment="1">
      <alignment vertical="center"/>
    </xf>
    <xf numFmtId="10" fontId="0" fillId="13" borderId="24" xfId="55" applyNumberFormat="1" applyFont="1" applyFill="1" applyBorder="1" applyAlignment="1">
      <alignment/>
    </xf>
    <xf numFmtId="10" fontId="0" fillId="13" borderId="42" xfId="55" applyNumberFormat="1" applyFont="1" applyFill="1" applyBorder="1" applyAlignment="1">
      <alignment/>
    </xf>
    <xf numFmtId="9" fontId="0" fillId="13" borderId="41" xfId="0" applyNumberFormat="1" applyFill="1" applyBorder="1" applyAlignment="1">
      <alignment/>
    </xf>
    <xf numFmtId="10" fontId="53" fillId="43" borderId="24" xfId="55" applyNumberFormat="1" applyFont="1" applyFill="1" applyBorder="1" applyAlignment="1">
      <alignment/>
    </xf>
    <xf numFmtId="9" fontId="0" fillId="6" borderId="41" xfId="0" applyNumberFormat="1" applyFill="1" applyBorder="1" applyAlignment="1">
      <alignment vertical="center"/>
    </xf>
    <xf numFmtId="10" fontId="53" fillId="6" borderId="24" xfId="55" applyNumberFormat="1" applyFont="1" applyFill="1" applyBorder="1" applyAlignment="1">
      <alignment/>
    </xf>
    <xf numFmtId="10" fontId="0" fillId="6" borderId="42" xfId="55" applyNumberFormat="1" applyFont="1" applyFill="1" applyBorder="1" applyAlignment="1">
      <alignment/>
    </xf>
    <xf numFmtId="9" fontId="0" fillId="6" borderId="41" xfId="0" applyNumberFormat="1" applyFill="1" applyBorder="1" applyAlignment="1">
      <alignment/>
    </xf>
    <xf numFmtId="9" fontId="0" fillId="6" borderId="43" xfId="0" applyNumberFormat="1" applyFill="1" applyBorder="1" applyAlignment="1">
      <alignment/>
    </xf>
    <xf numFmtId="10" fontId="53" fillId="6" borderId="44" xfId="55" applyNumberFormat="1" applyFont="1" applyFill="1" applyBorder="1" applyAlignment="1">
      <alignment/>
    </xf>
    <xf numFmtId="10" fontId="0" fillId="6" borderId="45" xfId="55" applyNumberFormat="1" applyFont="1" applyFill="1" applyBorder="1" applyAlignment="1">
      <alignment/>
    </xf>
    <xf numFmtId="10" fontId="0" fillId="17" borderId="24" xfId="55" applyNumberFormat="1" applyFont="1" applyFill="1" applyBorder="1" applyAlignment="1">
      <alignment/>
    </xf>
    <xf numFmtId="10" fontId="0" fillId="17" borderId="42" xfId="55" applyNumberFormat="1" applyFont="1" applyFill="1" applyBorder="1" applyAlignment="1">
      <alignment/>
    </xf>
    <xf numFmtId="10" fontId="0" fillId="17" borderId="44" xfId="55" applyNumberFormat="1" applyFont="1" applyFill="1" applyBorder="1" applyAlignment="1">
      <alignment/>
    </xf>
    <xf numFmtId="10" fontId="0" fillId="17" borderId="45" xfId="55" applyNumberFormat="1" applyFont="1" applyFill="1" applyBorder="1" applyAlignment="1">
      <alignment/>
    </xf>
    <xf numFmtId="0" fontId="19" fillId="0" borderId="2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0" fillId="0" borderId="26" xfId="0" applyFont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72" fillId="0" borderId="26" xfId="0" applyFont="1" applyBorder="1" applyAlignment="1">
      <alignment horizontal="center"/>
    </xf>
    <xf numFmtId="0" fontId="72" fillId="0" borderId="28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73" fillId="0" borderId="13" xfId="0" applyFont="1" applyBorder="1" applyAlignment="1">
      <alignment horizontal="left"/>
    </xf>
    <xf numFmtId="0" fontId="73" fillId="0" borderId="0" xfId="0" applyFont="1" applyBorder="1" applyAlignment="1">
      <alignment horizontal="left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20" fillId="35" borderId="32" xfId="0" applyFont="1" applyFill="1" applyBorder="1" applyAlignment="1">
      <alignment horizontal="center"/>
    </xf>
    <xf numFmtId="0" fontId="20" fillId="35" borderId="33" xfId="0" applyFont="1" applyFill="1" applyBorder="1" applyAlignment="1">
      <alignment horizontal="center"/>
    </xf>
    <xf numFmtId="0" fontId="20" fillId="35" borderId="34" xfId="0" applyFont="1" applyFill="1" applyBorder="1" applyAlignment="1">
      <alignment horizontal="center"/>
    </xf>
    <xf numFmtId="0" fontId="20" fillId="0" borderId="59" xfId="0" applyFont="1" applyFill="1" applyBorder="1" applyAlignment="1">
      <alignment horizontal="center"/>
    </xf>
    <xf numFmtId="0" fontId="20" fillId="0" borderId="60" xfId="0" applyFont="1" applyFill="1" applyBorder="1" applyAlignment="1">
      <alignment horizontal="center"/>
    </xf>
    <xf numFmtId="0" fontId="20" fillId="0" borderId="61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12" fillId="0" borderId="60" xfId="0" applyFont="1" applyFill="1" applyBorder="1" applyAlignment="1">
      <alignment horizontal="center"/>
    </xf>
    <xf numFmtId="0" fontId="12" fillId="0" borderId="61" xfId="0" applyFont="1" applyFill="1" applyBorder="1" applyAlignment="1">
      <alignment horizontal="center"/>
    </xf>
    <xf numFmtId="0" fontId="12" fillId="0" borderId="62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63" xfId="0" applyFont="1" applyFill="1" applyBorder="1" applyAlignment="1">
      <alignment horizontal="center"/>
    </xf>
    <xf numFmtId="0" fontId="78" fillId="0" borderId="64" xfId="0" applyFont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46" fillId="0" borderId="39" xfId="0" applyFont="1" applyFill="1" applyBorder="1" applyAlignment="1">
      <alignment/>
    </xf>
    <xf numFmtId="0" fontId="46" fillId="0" borderId="40" xfId="0" applyFont="1" applyFill="1" applyBorder="1" applyAlignment="1">
      <alignment/>
    </xf>
    <xf numFmtId="0" fontId="46" fillId="0" borderId="65" xfId="0" applyFont="1" applyFill="1" applyBorder="1" applyAlignment="1">
      <alignment/>
    </xf>
    <xf numFmtId="0" fontId="46" fillId="0" borderId="66" xfId="0" applyFont="1" applyFill="1" applyBorder="1" applyAlignment="1">
      <alignment/>
    </xf>
    <xf numFmtId="0" fontId="46" fillId="0" borderId="67" xfId="0" applyFont="1" applyFill="1" applyBorder="1" applyAlignment="1">
      <alignment/>
    </xf>
    <xf numFmtId="0" fontId="79" fillId="0" borderId="0" xfId="0" applyFont="1" applyAlignment="1">
      <alignment horizontal="center"/>
    </xf>
    <xf numFmtId="0" fontId="72" fillId="0" borderId="38" xfId="0" applyFont="1" applyBorder="1" applyAlignment="1">
      <alignment horizontal="center"/>
    </xf>
    <xf numFmtId="0" fontId="72" fillId="0" borderId="39" xfId="0" applyFont="1" applyBorder="1" applyAlignment="1">
      <alignment horizontal="center"/>
    </xf>
    <xf numFmtId="0" fontId="72" fillId="0" borderId="40" xfId="0" applyFont="1" applyBorder="1" applyAlignment="1">
      <alignment horizontal="center"/>
    </xf>
    <xf numFmtId="0" fontId="72" fillId="0" borderId="10" xfId="0" applyFont="1" applyBorder="1" applyAlignment="1">
      <alignment horizontal="center"/>
    </xf>
    <xf numFmtId="0" fontId="72" fillId="0" borderId="11" xfId="0" applyFont="1" applyBorder="1" applyAlignment="1">
      <alignment horizontal="center"/>
    </xf>
    <xf numFmtId="0" fontId="72" fillId="0" borderId="12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0</xdr:row>
      <xdr:rowOff>152400</xdr:rowOff>
    </xdr:from>
    <xdr:to>
      <xdr:col>12</xdr:col>
      <xdr:colOff>723900</xdr:colOff>
      <xdr:row>17</xdr:row>
      <xdr:rowOff>47625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rcRect l="9921" t="44749" r="49453" b="12249"/>
        <a:stretch>
          <a:fillRect/>
        </a:stretch>
      </xdr:blipFill>
      <xdr:spPr>
        <a:xfrm>
          <a:off x="5343525" y="152400"/>
          <a:ext cx="4953000" cy="3276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752475</xdr:colOff>
      <xdr:row>24</xdr:row>
      <xdr:rowOff>114300</xdr:rowOff>
    </xdr:from>
    <xdr:to>
      <xdr:col>9</xdr:col>
      <xdr:colOff>647700</xdr:colOff>
      <xdr:row>34</xdr:row>
      <xdr:rowOff>171450</xdr:rowOff>
    </xdr:to>
    <xdr:pic>
      <xdr:nvPicPr>
        <xdr:cNvPr id="2" name="Picture 237"/>
        <xdr:cNvPicPr preferRelativeResize="1">
          <a:picLocks noChangeAspect="1"/>
        </xdr:cNvPicPr>
      </xdr:nvPicPr>
      <xdr:blipFill>
        <a:blip r:embed="rId2"/>
        <a:srcRect t="23927" b="11964"/>
        <a:stretch>
          <a:fillRect/>
        </a:stretch>
      </xdr:blipFill>
      <xdr:spPr>
        <a:xfrm>
          <a:off x="3800475" y="4829175"/>
          <a:ext cx="370522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22</xdr:row>
      <xdr:rowOff>0</xdr:rowOff>
    </xdr:from>
    <xdr:to>
      <xdr:col>1</xdr:col>
      <xdr:colOff>57150</xdr:colOff>
      <xdr:row>22</xdr:row>
      <xdr:rowOff>85725</xdr:rowOff>
    </xdr:to>
    <xdr:pic>
      <xdr:nvPicPr>
        <xdr:cNvPr id="1" name="Picture 10" descr="https://www.paypalobjects.com/WEBSCR-590-20090901-1/en_US/i/scr/dagger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476750"/>
          <a:ext cx="57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323850</xdr:colOff>
      <xdr:row>36</xdr:row>
      <xdr:rowOff>171450</xdr:rowOff>
    </xdr:from>
    <xdr:to>
      <xdr:col>8</xdr:col>
      <xdr:colOff>447675</xdr:colOff>
      <xdr:row>50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7086600"/>
          <a:ext cx="381000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14</xdr:row>
      <xdr:rowOff>0</xdr:rowOff>
    </xdr:from>
    <xdr:to>
      <xdr:col>7</xdr:col>
      <xdr:colOff>180975</xdr:colOff>
      <xdr:row>41</xdr:row>
      <xdr:rowOff>133350</xdr:rowOff>
    </xdr:to>
    <xdr:pic>
      <xdr:nvPicPr>
        <xdr:cNvPr id="1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7410450" cy="634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95250</xdr:colOff>
      <xdr:row>35</xdr:row>
      <xdr:rowOff>28575</xdr:rowOff>
    </xdr:to>
    <xdr:pic>
      <xdr:nvPicPr>
        <xdr:cNvPr id="2" name="Picture 1" descr="http://www.portfoliopersonal.com.ar/imagenes/tte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53475" y="6800850"/>
          <a:ext cx="952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95250</xdr:colOff>
      <xdr:row>36</xdr:row>
      <xdr:rowOff>28575</xdr:rowOff>
    </xdr:to>
    <xdr:pic>
      <xdr:nvPicPr>
        <xdr:cNvPr id="3" name="Picture 2" descr="http://www.portfoliopersonal.com.ar/imagenes/tte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91475" y="8001000"/>
          <a:ext cx="952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95250</xdr:colOff>
      <xdr:row>36</xdr:row>
      <xdr:rowOff>28575</xdr:rowOff>
    </xdr:to>
    <xdr:pic>
      <xdr:nvPicPr>
        <xdr:cNvPr id="4" name="Picture 3" descr="http://www.portfoliopersonal.com.ar/imagenes/tte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53475" y="8001000"/>
          <a:ext cx="952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95250</xdr:colOff>
      <xdr:row>35</xdr:row>
      <xdr:rowOff>28575</xdr:rowOff>
    </xdr:to>
    <xdr:pic>
      <xdr:nvPicPr>
        <xdr:cNvPr id="5" name="Picture 5" descr="http://www.portfoliopersonal.com.ar/imagenes/tte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91475" y="6800850"/>
          <a:ext cx="952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9525</xdr:colOff>
      <xdr:row>37</xdr:row>
      <xdr:rowOff>9525</xdr:rowOff>
    </xdr:to>
    <xdr:pic>
      <xdr:nvPicPr>
        <xdr:cNvPr id="6" name="Picture 6" descr="http://www.portfoliopersonal.com.ar/grafica/dummie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53475" y="819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37</xdr:row>
      <xdr:rowOff>0</xdr:rowOff>
    </xdr:from>
    <xdr:to>
      <xdr:col>10</xdr:col>
      <xdr:colOff>9525</xdr:colOff>
      <xdr:row>37</xdr:row>
      <xdr:rowOff>9525</xdr:rowOff>
    </xdr:to>
    <xdr:pic>
      <xdr:nvPicPr>
        <xdr:cNvPr id="7" name="Picture 7" descr="http://www.portfoliopersonal.com.ar/grafica/dummie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15475" y="819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9525</xdr:colOff>
      <xdr:row>37</xdr:row>
      <xdr:rowOff>9525</xdr:rowOff>
    </xdr:to>
    <xdr:pic>
      <xdr:nvPicPr>
        <xdr:cNvPr id="8" name="Picture 8" descr="http://www.portfoliopersonal.com.ar/grafica/dummie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68075" y="819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9525</xdr:colOff>
      <xdr:row>35</xdr:row>
      <xdr:rowOff>9525</xdr:rowOff>
    </xdr:to>
    <xdr:pic>
      <xdr:nvPicPr>
        <xdr:cNvPr id="9" name="Picture 9" descr="http://www.portfoliopersonal.com.ar/grafica/dummie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53475" y="680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9525</xdr:colOff>
      <xdr:row>35</xdr:row>
      <xdr:rowOff>9525</xdr:rowOff>
    </xdr:to>
    <xdr:pic>
      <xdr:nvPicPr>
        <xdr:cNvPr id="10" name="Picture 10" descr="http://www.portfoliopersonal.com.ar/grafica/dummie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68075" y="680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9525</xdr:colOff>
      <xdr:row>36</xdr:row>
      <xdr:rowOff>9525</xdr:rowOff>
    </xdr:to>
    <xdr:pic>
      <xdr:nvPicPr>
        <xdr:cNvPr id="11" name="Picture 11" descr="http://www.portfoliopersonal.com.ar/grafica/dummie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53475" y="8001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kyscraperlife.com/city-versus-city/24999-lima-arequipa-trujillo-per-vs-quito-guayaquil-cuenca-ecu-420.html" TargetMode="External" /><Relationship Id="rId2" Type="http://schemas.openxmlformats.org/officeDocument/2006/relationships/hyperlink" Target="http://www.dspace.espol.edu.ec/bitstream/123456789/1922/1/3798.pdf" TargetMode="External" /><Relationship Id="rId3" Type="http://schemas.openxmlformats.org/officeDocument/2006/relationships/hyperlink" Target="http://www.inec.gov.ec/c/document_library/get_file?folderId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lperiodico.com.gt/es/20080129/pais/48019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paypal.com/ec/cgi-bin/webscr?cmd=_display-receiving-fees-outside" TargetMode="External" /><Relationship Id="rId2" Type="http://schemas.openxmlformats.org/officeDocument/2006/relationships/hyperlink" Target="http://leadernet.net.ec/" TargetMode="External" /><Relationship Id="rId3" Type="http://schemas.openxmlformats.org/officeDocument/2006/relationships/comments" Target="../comments3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ndexmundi.com/es/ecuador/tasa_de_crecimiento.html" TargetMode="External" /><Relationship Id="rId2" Type="http://schemas.openxmlformats.org/officeDocument/2006/relationships/hyperlink" Target="http://pages.ebay.es/paypal/como-vender.html" TargetMode="External" /><Relationship Id="rId3" Type="http://schemas.openxmlformats.org/officeDocument/2006/relationships/hyperlink" Target="http://www.utpl.edu.ec/eva/descargas/material/140/AEMAAE3/G515806.pdf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nf.fin.ec/index.php?s=9&amp;a=72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4"/>
  <sheetViews>
    <sheetView zoomScalePageLayoutView="0" workbookViewId="0" topLeftCell="C1">
      <selection activeCell="I19" sqref="I19"/>
    </sheetView>
  </sheetViews>
  <sheetFormatPr defaultColWidth="11.421875" defaultRowHeight="15"/>
  <cols>
    <col min="10" max="10" width="17.8515625" style="0" customWidth="1"/>
  </cols>
  <sheetData>
    <row r="1" ht="15.75" thickBot="1"/>
    <row r="2" spans="1:4" ht="15.75" thickBot="1">
      <c r="A2" s="1" t="s">
        <v>44</v>
      </c>
      <c r="D2" s="57">
        <f>114180+57033+155977</f>
        <v>327190</v>
      </c>
    </row>
    <row r="3" spans="1:4" ht="15.75" thickBot="1">
      <c r="A3" s="7" t="s">
        <v>45</v>
      </c>
      <c r="B3" s="2"/>
      <c r="C3" s="2"/>
      <c r="D3" s="62">
        <v>0.1315</v>
      </c>
    </row>
    <row r="4" spans="1:4" ht="15.75" thickBot="1">
      <c r="A4" s="1" t="s">
        <v>46</v>
      </c>
      <c r="D4" s="62">
        <v>0.01</v>
      </c>
    </row>
    <row r="5" ht="15.75" thickBot="1">
      <c r="A5" s="1"/>
    </row>
    <row r="6" spans="5:12" ht="15.75" thickBot="1">
      <c r="E6" s="63">
        <f>D13*12</f>
        <v>129.07645499999998</v>
      </c>
      <c r="F6" t="s">
        <v>189</v>
      </c>
      <c r="L6" s="49"/>
    </row>
    <row r="7" spans="1:6" ht="15.75" thickBot="1">
      <c r="A7" s="1" t="s">
        <v>48</v>
      </c>
      <c r="D7" s="57">
        <f>+D2*D3*D4</f>
        <v>430.25485000000003</v>
      </c>
      <c r="E7" s="63">
        <f>D14*12</f>
        <v>129.07645499999998</v>
      </c>
      <c r="F7" t="s">
        <v>188</v>
      </c>
    </row>
    <row r="8" spans="1:6" ht="15.75" thickBot="1">
      <c r="A8" s="1"/>
      <c r="E8" s="63">
        <f>D15*12</f>
        <v>172.10194</v>
      </c>
      <c r="F8" t="s">
        <v>190</v>
      </c>
    </row>
    <row r="9" ht="15.75" thickBot="1"/>
    <row r="10" spans="1:4" ht="15.75" thickBot="1">
      <c r="A10" s="1" t="s">
        <v>49</v>
      </c>
      <c r="D10" s="57">
        <f>+D7/12</f>
        <v>35.854570833333334</v>
      </c>
    </row>
    <row r="11" spans="1:4" ht="15.75" thickBot="1">
      <c r="A11" s="1" t="s">
        <v>50</v>
      </c>
      <c r="D11" s="57">
        <f>D10/30</f>
        <v>1.1951523611111112</v>
      </c>
    </row>
    <row r="12" ht="15.75" thickBot="1"/>
    <row r="13" spans="1:4" ht="15.75" thickBot="1">
      <c r="A13" s="1" t="s">
        <v>62</v>
      </c>
      <c r="C13" s="6">
        <v>0.3</v>
      </c>
      <c r="D13" s="57">
        <f>+D10*C13</f>
        <v>10.756371249999999</v>
      </c>
    </row>
    <row r="14" spans="1:4" ht="15.75" thickBot="1">
      <c r="A14" s="1" t="s">
        <v>63</v>
      </c>
      <c r="C14" s="6">
        <v>0.3</v>
      </c>
      <c r="D14" s="57">
        <f>+D10*C14</f>
        <v>10.756371249999999</v>
      </c>
    </row>
    <row r="15" spans="1:5" ht="15.75" thickBot="1">
      <c r="A15" s="1" t="s">
        <v>64</v>
      </c>
      <c r="C15" s="6">
        <v>0.4</v>
      </c>
      <c r="D15" s="57">
        <f>+D10*C15</f>
        <v>14.341828333333334</v>
      </c>
      <c r="E15" s="49"/>
    </row>
    <row r="19" spans="8:9" ht="15">
      <c r="H19" s="48" t="s">
        <v>202</v>
      </c>
      <c r="I19" s="8" t="s">
        <v>289</v>
      </c>
    </row>
    <row r="21" ht="15">
      <c r="C21" s="48" t="s">
        <v>286</v>
      </c>
    </row>
    <row r="22" ht="15">
      <c r="D22" s="8" t="s">
        <v>285</v>
      </c>
    </row>
    <row r="24" spans="5:6" ht="15">
      <c r="E24" s="48" t="s">
        <v>287</v>
      </c>
      <c r="F24" s="8" t="s">
        <v>288</v>
      </c>
    </row>
  </sheetData>
  <sheetProtection/>
  <hyperlinks>
    <hyperlink ref="D22" r:id="rId1" display="http://www.skyscraperlife.com/city-versus-city/24999-lima-arequipa-trujillo-per-vs-quito-guayaquil-cuenca-ecu-420.html"/>
    <hyperlink ref="F24" r:id="rId2" display="http://www.dspace.espol.edu.ec/bitstream/123456789/1922/1/3798.pdf"/>
    <hyperlink ref="I19" r:id="rId3" display="www.inec.gov.ec/c/document_library/get_file?folderId"/>
  </hyperlinks>
  <printOptions/>
  <pageMargins left="0.7" right="0.7" top="0.75" bottom="0.75" header="0.3" footer="0.3"/>
  <pageSetup horizontalDpi="600" verticalDpi="600" orientation="portrait" r:id="rId5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51"/>
  <sheetViews>
    <sheetView tabSelected="1" zoomScalePageLayoutView="0" workbookViewId="0" topLeftCell="A1">
      <selection activeCell="C42" sqref="C42"/>
    </sheetView>
  </sheetViews>
  <sheetFormatPr defaultColWidth="11.421875" defaultRowHeight="15"/>
  <cols>
    <col min="1" max="1" width="45.7109375" style="0" bestFit="1" customWidth="1"/>
    <col min="2" max="2" width="13.00390625" style="0" bestFit="1" customWidth="1"/>
    <col min="3" max="3" width="14.00390625" style="0" customWidth="1"/>
    <col min="4" max="12" width="12.00390625" style="0" bestFit="1" customWidth="1"/>
  </cols>
  <sheetData>
    <row r="1" ht="15.75" thickBot="1"/>
    <row r="2" spans="1:12" ht="15">
      <c r="A2" s="392" t="s">
        <v>130</v>
      </c>
      <c r="B2" s="393"/>
      <c r="C2" s="393"/>
      <c r="D2" s="393"/>
      <c r="E2" s="393"/>
      <c r="F2" s="393"/>
      <c r="G2" s="393"/>
      <c r="H2" s="394"/>
      <c r="I2" s="394"/>
      <c r="J2" s="394"/>
      <c r="K2" s="394"/>
      <c r="L2" s="395"/>
    </row>
    <row r="3" spans="1:12" ht="15.75" thickBot="1">
      <c r="A3" s="396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8"/>
    </row>
    <row r="4" spans="1:12" ht="15.75" thickBot="1">
      <c r="A4" s="100" t="s">
        <v>47</v>
      </c>
      <c r="B4" s="101">
        <v>0</v>
      </c>
      <c r="C4" s="101">
        <v>1</v>
      </c>
      <c r="D4" s="101">
        <v>2</v>
      </c>
      <c r="E4" s="101">
        <v>3</v>
      </c>
      <c r="F4" s="101">
        <v>4</v>
      </c>
      <c r="G4" s="101">
        <v>5</v>
      </c>
      <c r="H4" s="101">
        <v>6</v>
      </c>
      <c r="I4" s="101">
        <v>7</v>
      </c>
      <c r="J4" s="101">
        <v>8</v>
      </c>
      <c r="K4" s="101">
        <v>9</v>
      </c>
      <c r="L4" s="102">
        <v>10</v>
      </c>
    </row>
    <row r="5" spans="1:12" ht="15">
      <c r="A5" s="103" t="s">
        <v>131</v>
      </c>
      <c r="B5" s="104"/>
      <c r="C5" s="105">
        <f>'Estado de Resultados'!C4</f>
        <v>29395.011351999998</v>
      </c>
      <c r="D5" s="105">
        <f>'Estado de Resultados'!D4</f>
        <v>29396.020701999998</v>
      </c>
      <c r="E5" s="105">
        <f>'Estado de Resultados'!E4</f>
        <v>29397.030052</v>
      </c>
      <c r="F5" s="105">
        <f>'Estado de Resultados'!F4</f>
        <v>29398.039402</v>
      </c>
      <c r="G5" s="105">
        <f>'Estado de Resultados'!G4</f>
        <v>29399.048752</v>
      </c>
      <c r="H5" s="105">
        <f>'Estado de Resultados'!H4</f>
        <v>29400.058102</v>
      </c>
      <c r="I5" s="105">
        <f>'Estado de Resultados'!I4</f>
        <v>29401.067452</v>
      </c>
      <c r="J5" s="105">
        <f>'Estado de Resultados'!J4</f>
        <v>29402.076802</v>
      </c>
      <c r="K5" s="105">
        <f>'Estado de Resultados'!K4</f>
        <v>29403.086152</v>
      </c>
      <c r="L5" s="276">
        <f>'Estado de Resultados'!L4</f>
        <v>29404.095502</v>
      </c>
    </row>
    <row r="6" spans="1:12" ht="15">
      <c r="A6" s="103" t="s">
        <v>152</v>
      </c>
      <c r="B6" s="106"/>
      <c r="C6" s="107">
        <f>'Estado de Resultados'!C5</f>
        <v>1140</v>
      </c>
      <c r="D6" s="107">
        <f>'Estado de Resultados'!D5</f>
        <v>1150.6589999999999</v>
      </c>
      <c r="E6" s="107">
        <f>'Estado de Resultados'!E5</f>
        <v>1161.41766165</v>
      </c>
      <c r="F6" s="107">
        <f>'Estado de Resultados'!F5</f>
        <v>1172.2769167864274</v>
      </c>
      <c r="G6" s="107">
        <f>'Estado de Resultados'!G5</f>
        <v>1183.2377059583805</v>
      </c>
      <c r="H6" s="107">
        <f>'Estado de Resultados'!H5</f>
        <v>1194.3009785090912</v>
      </c>
      <c r="I6" s="107">
        <f>'Estado de Resultados'!I5</f>
        <v>1205.4676926581512</v>
      </c>
      <c r="J6" s="107">
        <f>'Estado de Resultados'!J5</f>
        <v>1216.738815584505</v>
      </c>
      <c r="K6" s="107">
        <f>'Estado de Resultados'!K5</f>
        <v>1228.11532351022</v>
      </c>
      <c r="L6" s="277">
        <f>'Estado de Resultados'!L5</f>
        <v>1239.5982017850404</v>
      </c>
    </row>
    <row r="7" spans="1:12" ht="15">
      <c r="A7" s="103" t="s">
        <v>153</v>
      </c>
      <c r="B7" s="106"/>
      <c r="C7" s="107">
        <f>costos!$C$10</f>
        <v>1548</v>
      </c>
      <c r="D7" s="107">
        <f>costos!$C$10</f>
        <v>1548</v>
      </c>
      <c r="E7" s="107">
        <f>costos!$C$10</f>
        <v>1548</v>
      </c>
      <c r="F7" s="107">
        <f>costos!$C$10</f>
        <v>1548</v>
      </c>
      <c r="G7" s="107">
        <f>costos!$C$10</f>
        <v>1548</v>
      </c>
      <c r="H7" s="107">
        <f>costos!$C$10</f>
        <v>1548</v>
      </c>
      <c r="I7" s="107">
        <f>costos!$C$10</f>
        <v>1548</v>
      </c>
      <c r="J7" s="107">
        <f>costos!$C$10</f>
        <v>1548</v>
      </c>
      <c r="K7" s="107">
        <f>costos!$C$10</f>
        <v>1548</v>
      </c>
      <c r="L7" s="277">
        <f>costos!$C$10</f>
        <v>1548</v>
      </c>
    </row>
    <row r="8" spans="1:12" ht="15">
      <c r="A8" s="103" t="s">
        <v>132</v>
      </c>
      <c r="B8" s="106"/>
      <c r="C8" s="107">
        <f>costos!$C$6</f>
        <v>15696</v>
      </c>
      <c r="D8" s="107">
        <f>costos!$C$6</f>
        <v>15696</v>
      </c>
      <c r="E8" s="107">
        <f>costos!$C$6</f>
        <v>15696</v>
      </c>
      <c r="F8" s="107">
        <f>costos!$C$6</f>
        <v>15696</v>
      </c>
      <c r="G8" s="107">
        <f>costos!$C$6</f>
        <v>15696</v>
      </c>
      <c r="H8" s="107">
        <f>costos!$C$6</f>
        <v>15696</v>
      </c>
      <c r="I8" s="107">
        <f>costos!$C$6</f>
        <v>15696</v>
      </c>
      <c r="J8" s="107">
        <f>costos!$C$6</f>
        <v>15696</v>
      </c>
      <c r="K8" s="107">
        <f>costos!$C$6</f>
        <v>15696</v>
      </c>
      <c r="L8" s="277">
        <f>costos!$C$6</f>
        <v>15696</v>
      </c>
    </row>
    <row r="9" spans="1:12" ht="15">
      <c r="A9" s="103" t="s">
        <v>133</v>
      </c>
      <c r="B9" s="106"/>
      <c r="C9" s="107">
        <f>costos!$C$5</f>
        <v>3600</v>
      </c>
      <c r="D9" s="107">
        <f>costos!$C$5</f>
        <v>3600</v>
      </c>
      <c r="E9" s="107">
        <f>costos!$C$5</f>
        <v>3600</v>
      </c>
      <c r="F9" s="107">
        <f>costos!$C$5</f>
        <v>3600</v>
      </c>
      <c r="G9" s="107">
        <f>costos!$C$5</f>
        <v>3600</v>
      </c>
      <c r="H9" s="107">
        <f>costos!$C$5</f>
        <v>3600</v>
      </c>
      <c r="I9" s="107">
        <f>costos!$C$5</f>
        <v>3600</v>
      </c>
      <c r="J9" s="107">
        <f>costos!$C$5</f>
        <v>3600</v>
      </c>
      <c r="K9" s="107">
        <f>costos!$C$5</f>
        <v>3600</v>
      </c>
      <c r="L9" s="277">
        <f>costos!$C$5</f>
        <v>3600</v>
      </c>
    </row>
    <row r="10" spans="1:12" ht="15">
      <c r="A10" s="103" t="s">
        <v>134</v>
      </c>
      <c r="B10" s="106"/>
      <c r="C10" s="107">
        <f>costos!$D$9</f>
        <v>672</v>
      </c>
      <c r="D10" s="107">
        <f>costos!$D$9</f>
        <v>672</v>
      </c>
      <c r="E10" s="107">
        <f>costos!$D$9</f>
        <v>672</v>
      </c>
      <c r="F10" s="107">
        <f>costos!$D$9</f>
        <v>672</v>
      </c>
      <c r="G10" s="107">
        <f>costos!$D$9</f>
        <v>672</v>
      </c>
      <c r="H10" s="107">
        <f>costos!$D$9</f>
        <v>672</v>
      </c>
      <c r="I10" s="107">
        <f>costos!$D$9</f>
        <v>672</v>
      </c>
      <c r="J10" s="107">
        <f>costos!$D$9</f>
        <v>672</v>
      </c>
      <c r="K10" s="107">
        <f>costos!$D$9</f>
        <v>672</v>
      </c>
      <c r="L10" s="277">
        <f>costos!$D$9</f>
        <v>672</v>
      </c>
    </row>
    <row r="11" spans="1:12" ht="15">
      <c r="A11" s="103" t="s">
        <v>155</v>
      </c>
      <c r="B11" s="106"/>
      <c r="C11" s="107">
        <f>costos!$C$11</f>
        <v>1080</v>
      </c>
      <c r="D11" s="107">
        <f>costos!$C$11</f>
        <v>1080</v>
      </c>
      <c r="E11" s="107">
        <f>costos!$C$11</f>
        <v>1080</v>
      </c>
      <c r="F11" s="107">
        <f>costos!$C$11</f>
        <v>1080</v>
      </c>
      <c r="G11" s="107">
        <f>costos!$C$11</f>
        <v>1080</v>
      </c>
      <c r="H11" s="107">
        <f>costos!$C$11</f>
        <v>1080</v>
      </c>
      <c r="I11" s="107">
        <f>costos!$C$11</f>
        <v>1080</v>
      </c>
      <c r="J11" s="107">
        <f>costos!$C$11</f>
        <v>1080</v>
      </c>
      <c r="K11" s="107">
        <f>costos!$C$11</f>
        <v>1080</v>
      </c>
      <c r="L11" s="277">
        <f>costos!$C$11</f>
        <v>1080</v>
      </c>
    </row>
    <row r="12" spans="1:12" ht="15">
      <c r="A12" s="103" t="s">
        <v>156</v>
      </c>
      <c r="B12" s="106"/>
      <c r="C12" s="107">
        <f>costos!$C$12</f>
        <v>180</v>
      </c>
      <c r="D12" s="107">
        <f>costos!$C$12</f>
        <v>180</v>
      </c>
      <c r="E12" s="107">
        <f>costos!$C$12</f>
        <v>180</v>
      </c>
      <c r="F12" s="107">
        <f>costos!$C$12</f>
        <v>180</v>
      </c>
      <c r="G12" s="107">
        <f>costos!$C$12</f>
        <v>180</v>
      </c>
      <c r="H12" s="107">
        <f>costos!$C$12</f>
        <v>180</v>
      </c>
      <c r="I12" s="107">
        <f>costos!$C$12</f>
        <v>180</v>
      </c>
      <c r="J12" s="107">
        <f>costos!$C$12</f>
        <v>180</v>
      </c>
      <c r="K12" s="107">
        <f>costos!$C$12</f>
        <v>180</v>
      </c>
      <c r="L12" s="277">
        <f>costos!$C$12</f>
        <v>180</v>
      </c>
    </row>
    <row r="13" spans="1:12" ht="15">
      <c r="A13" s="103" t="s">
        <v>157</v>
      </c>
      <c r="B13" s="106"/>
      <c r="C13" s="107">
        <f>costos!$C$13</f>
        <v>1188</v>
      </c>
      <c r="D13" s="107">
        <f>costos!$C$13</f>
        <v>1188</v>
      </c>
      <c r="E13" s="107">
        <f>costos!$C$13</f>
        <v>1188</v>
      </c>
      <c r="F13" s="107">
        <f>costos!$C$13</f>
        <v>1188</v>
      </c>
      <c r="G13" s="107">
        <f>costos!$C$13</f>
        <v>1188</v>
      </c>
      <c r="H13" s="107">
        <f>costos!$C$13</f>
        <v>1188</v>
      </c>
      <c r="I13" s="107">
        <f>costos!$C$13</f>
        <v>1188</v>
      </c>
      <c r="J13" s="107">
        <f>costos!$C$13</f>
        <v>1188</v>
      </c>
      <c r="K13" s="107">
        <f>costos!$C$13</f>
        <v>1188</v>
      </c>
      <c r="L13" s="277">
        <f>costos!$C$13</f>
        <v>1188</v>
      </c>
    </row>
    <row r="14" spans="1:12" ht="15">
      <c r="A14" s="103" t="s">
        <v>206</v>
      </c>
      <c r="B14" s="106"/>
      <c r="C14" s="107">
        <f>costos!$C$14</f>
        <v>18.228664900000002</v>
      </c>
      <c r="D14" s="107">
        <f>costos!$C$14</f>
        <v>18.228664900000002</v>
      </c>
      <c r="E14" s="107">
        <f>costos!$C$14</f>
        <v>18.228664900000002</v>
      </c>
      <c r="F14" s="107">
        <f>costos!$C$14</f>
        <v>18.228664900000002</v>
      </c>
      <c r="G14" s="107">
        <f>costos!$C$14</f>
        <v>18.228664900000002</v>
      </c>
      <c r="H14" s="107">
        <f>costos!$C$14</f>
        <v>18.228664900000002</v>
      </c>
      <c r="I14" s="107">
        <f>costos!$C$14</f>
        <v>18.228664900000002</v>
      </c>
      <c r="J14" s="107">
        <f>costos!$C$14</f>
        <v>18.228664900000002</v>
      </c>
      <c r="K14" s="107">
        <f>costos!$C$14</f>
        <v>18.228664900000002</v>
      </c>
      <c r="L14" s="277">
        <f>costos!$C$14</f>
        <v>18.228664900000002</v>
      </c>
    </row>
    <row r="15" spans="1:12" ht="15">
      <c r="A15" s="103" t="s">
        <v>207</v>
      </c>
      <c r="B15" s="106"/>
      <c r="C15" s="107">
        <f>costos!$C$15</f>
        <v>87.3266</v>
      </c>
      <c r="D15" s="107">
        <f>costos!$C$15</f>
        <v>87.3266</v>
      </c>
      <c r="E15" s="107">
        <f>costos!$C$15</f>
        <v>87.3266</v>
      </c>
      <c r="F15" s="107">
        <f>costos!$C$15</f>
        <v>87.3266</v>
      </c>
      <c r="G15" s="107">
        <f>costos!$C$15</f>
        <v>87.3266</v>
      </c>
      <c r="H15" s="107">
        <f>costos!$C$15</f>
        <v>87.3266</v>
      </c>
      <c r="I15" s="107">
        <f>costos!$C$15</f>
        <v>87.3266</v>
      </c>
      <c r="J15" s="107">
        <f>costos!$C$15</f>
        <v>87.3266</v>
      </c>
      <c r="K15" s="107">
        <f>costos!$C$15</f>
        <v>87.3266</v>
      </c>
      <c r="L15" s="277">
        <f>costos!$C$15</f>
        <v>87.3266</v>
      </c>
    </row>
    <row r="16" spans="1:12" ht="26.25">
      <c r="A16" s="103" t="s">
        <v>158</v>
      </c>
      <c r="B16" s="108"/>
      <c r="C16" s="109">
        <f>Depreciacion!$E$12</f>
        <v>1710.7980000000002</v>
      </c>
      <c r="D16" s="109">
        <f>Depreciacion!$E$12</f>
        <v>1710.7980000000002</v>
      </c>
      <c r="E16" s="109">
        <f>Depreciacion!$E$12</f>
        <v>1710.7980000000002</v>
      </c>
      <c r="F16" s="109">
        <f>Depreciacion!$E$12</f>
        <v>1710.7980000000002</v>
      </c>
      <c r="G16" s="109">
        <f>Depreciacion!$E$12</f>
        <v>1710.7980000000002</v>
      </c>
      <c r="H16" s="109">
        <f>Depreciacion!$E$12</f>
        <v>1710.7980000000002</v>
      </c>
      <c r="I16" s="109">
        <f>Depreciacion!$E$12</f>
        <v>1710.7980000000002</v>
      </c>
      <c r="J16" s="109">
        <f>Depreciacion!$E$12</f>
        <v>1710.7980000000002</v>
      </c>
      <c r="K16" s="109">
        <f>Depreciacion!$E$12</f>
        <v>1710.7980000000002</v>
      </c>
      <c r="L16" s="278">
        <f>Depreciacion!$E$12</f>
        <v>1710.7980000000002</v>
      </c>
    </row>
    <row r="17" spans="1:12" ht="15">
      <c r="A17" s="103" t="s">
        <v>159</v>
      </c>
      <c r="B17" s="108"/>
      <c r="C17" s="109">
        <f>Depreciacion!$E$6</f>
        <v>432</v>
      </c>
      <c r="D17" s="109">
        <f>Depreciacion!$E$6</f>
        <v>432</v>
      </c>
      <c r="E17" s="109">
        <f>Depreciacion!$E$6</f>
        <v>432</v>
      </c>
      <c r="F17" s="109">
        <f>Depreciacion!$E$6</f>
        <v>432</v>
      </c>
      <c r="G17" s="109">
        <f>Depreciacion!$E$6</f>
        <v>432</v>
      </c>
      <c r="H17" s="109">
        <f>Depreciacion!$E$6</f>
        <v>432</v>
      </c>
      <c r="I17" s="109">
        <f>Depreciacion!$E$6</f>
        <v>432</v>
      </c>
      <c r="J17" s="109">
        <f>Depreciacion!$E$6</f>
        <v>432</v>
      </c>
      <c r="K17" s="109">
        <f>Depreciacion!$E$6</f>
        <v>432</v>
      </c>
      <c r="L17" s="278">
        <f>Depreciacion!$E$6</f>
        <v>432</v>
      </c>
    </row>
    <row r="18" spans="1:12" ht="15">
      <c r="A18" s="103" t="s">
        <v>160</v>
      </c>
      <c r="B18" s="108"/>
      <c r="C18" s="109">
        <f>Depreciacion!$E$7</f>
        <v>42.03</v>
      </c>
      <c r="D18" s="109">
        <f>Depreciacion!$E$7</f>
        <v>42.03</v>
      </c>
      <c r="E18" s="109">
        <f>Depreciacion!$E$7</f>
        <v>42.03</v>
      </c>
      <c r="F18" s="109">
        <f>Depreciacion!$E$7</f>
        <v>42.03</v>
      </c>
      <c r="G18" s="109">
        <f>Depreciacion!$E$7</f>
        <v>42.03</v>
      </c>
      <c r="H18" s="109">
        <f>Depreciacion!$E$7</f>
        <v>42.03</v>
      </c>
      <c r="I18" s="109">
        <f>Depreciacion!$E$7</f>
        <v>42.03</v>
      </c>
      <c r="J18" s="109">
        <f>Depreciacion!$E$7</f>
        <v>42.03</v>
      </c>
      <c r="K18" s="109">
        <f>Depreciacion!$E$7</f>
        <v>42.03</v>
      </c>
      <c r="L18" s="278">
        <f>Depreciacion!$E$7</f>
        <v>42.03</v>
      </c>
    </row>
    <row r="19" spans="1:12" ht="15">
      <c r="A19" s="103" t="s">
        <v>135</v>
      </c>
      <c r="B19" s="108"/>
      <c r="C19" s="109">
        <f>Depreciacion!$E$4</f>
        <v>63</v>
      </c>
      <c r="D19" s="109">
        <f>Depreciacion!$E$4</f>
        <v>63</v>
      </c>
      <c r="E19" s="109">
        <f>Depreciacion!$E$4</f>
        <v>63</v>
      </c>
      <c r="F19" s="109">
        <f>Depreciacion!$E$4</f>
        <v>63</v>
      </c>
      <c r="G19" s="109">
        <f>Depreciacion!$E$4</f>
        <v>63</v>
      </c>
      <c r="H19" s="109">
        <f>Depreciacion!$E$4</f>
        <v>63</v>
      </c>
      <c r="I19" s="109">
        <f>Depreciacion!$E$4</f>
        <v>63</v>
      </c>
      <c r="J19" s="109">
        <f>Depreciacion!$E$4</f>
        <v>63</v>
      </c>
      <c r="K19" s="109">
        <f>Depreciacion!$E$4</f>
        <v>63</v>
      </c>
      <c r="L19" s="278">
        <f>Depreciacion!$E$4</f>
        <v>63</v>
      </c>
    </row>
    <row r="20" spans="1:12" ht="15">
      <c r="A20" s="103" t="s">
        <v>165</v>
      </c>
      <c r="B20" s="108"/>
      <c r="C20" s="109">
        <f>Financiamiento!C9</f>
        <v>1499.5085571707637</v>
      </c>
      <c r="D20" s="109">
        <f>Financiamiento!D9</f>
        <v>1410.6957131719605</v>
      </c>
      <c r="E20" s="109">
        <f>Financiamiento!E9</f>
        <v>1311.9358306452916</v>
      </c>
      <c r="F20" s="109">
        <f>Financiamiento!F9</f>
        <v>1202.1148412756356</v>
      </c>
      <c r="G20" s="109">
        <f>Financiamiento!G9</f>
        <v>1079.9939010965786</v>
      </c>
      <c r="H20" s="109">
        <f>Financiamiento!H9</f>
        <v>944.1954156174664</v>
      </c>
      <c r="I20" s="109">
        <f>Financiamiento!I9</f>
        <v>793.1874997646939</v>
      </c>
      <c r="J20" s="109">
        <f>Financiamiento!J9</f>
        <v>625.2666973364105</v>
      </c>
      <c r="K20" s="109">
        <f>Financiamiento!K9</f>
        <v>438.53876503616044</v>
      </c>
      <c r="L20" s="278">
        <f>Financiamiento!L9</f>
        <v>230.89730431828136</v>
      </c>
    </row>
    <row r="21" spans="1:12" ht="15">
      <c r="A21" s="111" t="s">
        <v>136</v>
      </c>
      <c r="B21" s="108"/>
      <c r="C21" s="176">
        <f>C5-C6-C7-C8-C9-C10-C11-C12-C13-C14-C15-C16-C17-C18-C19-C20</f>
        <v>438.11952992923375</v>
      </c>
      <c r="D21" s="176">
        <f aca="true" t="shared" si="0" ref="D21:K21">D5-D6-D7-D8-D9-D10-D11-D12-D13-D14-D15-D16-D17-D18-D19-D20</f>
        <v>517.2827239280375</v>
      </c>
      <c r="E21" s="176">
        <f t="shared" si="0"/>
        <v>606.2932948047055</v>
      </c>
      <c r="F21" s="176">
        <f t="shared" si="0"/>
        <v>706.2643790379345</v>
      </c>
      <c r="G21" s="176">
        <f t="shared" si="0"/>
        <v>818.4338800450384</v>
      </c>
      <c r="H21" s="176">
        <f t="shared" si="0"/>
        <v>944.1784429734415</v>
      </c>
      <c r="I21" s="176">
        <f t="shared" si="0"/>
        <v>1085.0289946771527</v>
      </c>
      <c r="J21" s="176">
        <f t="shared" si="0"/>
        <v>1242.688024179085</v>
      </c>
      <c r="K21" s="176">
        <f t="shared" si="0"/>
        <v>1419.048798553618</v>
      </c>
      <c r="L21" s="279">
        <f>L5-L6-L7-L8-L9-L10-L11-L12-L13-L14-L15-L16-L17-L18-L19-L20</f>
        <v>1616.2167309966787</v>
      </c>
    </row>
    <row r="22" spans="1:12" ht="15">
      <c r="A22" s="103" t="s">
        <v>137</v>
      </c>
      <c r="B22" s="108"/>
      <c r="C22" s="109">
        <f>C21*0.15</f>
        <v>65.71792948938506</v>
      </c>
      <c r="D22" s="109">
        <f aca="true" t="shared" si="1" ref="D22:L22">D21*0.15</f>
        <v>77.59240858920562</v>
      </c>
      <c r="E22" s="109">
        <f t="shared" si="1"/>
        <v>90.94399422070582</v>
      </c>
      <c r="F22" s="109">
        <f t="shared" si="1"/>
        <v>105.93965685569017</v>
      </c>
      <c r="G22" s="109">
        <f t="shared" si="1"/>
        <v>122.76508200675576</v>
      </c>
      <c r="H22" s="109">
        <f t="shared" si="1"/>
        <v>141.62676644601623</v>
      </c>
      <c r="I22" s="109">
        <f t="shared" si="1"/>
        <v>162.7543492015729</v>
      </c>
      <c r="J22" s="109">
        <f t="shared" si="1"/>
        <v>186.40320362686273</v>
      </c>
      <c r="K22" s="109">
        <f t="shared" si="1"/>
        <v>212.8573197830427</v>
      </c>
      <c r="L22" s="278">
        <f t="shared" si="1"/>
        <v>242.4325096495018</v>
      </c>
    </row>
    <row r="23" spans="1:12" ht="15">
      <c r="A23" s="111" t="s">
        <v>138</v>
      </c>
      <c r="B23" s="108"/>
      <c r="C23" s="109">
        <f>C21-C22</f>
        <v>372.4016004398487</v>
      </c>
      <c r="D23" s="109">
        <f aca="true" t="shared" si="2" ref="D23:L23">D21-D22</f>
        <v>439.6903153388319</v>
      </c>
      <c r="E23" s="109">
        <f t="shared" si="2"/>
        <v>515.3493005839997</v>
      </c>
      <c r="F23" s="109">
        <f t="shared" si="2"/>
        <v>600.3247221822444</v>
      </c>
      <c r="G23" s="109">
        <f t="shared" si="2"/>
        <v>695.6687980382827</v>
      </c>
      <c r="H23" s="109">
        <f t="shared" si="2"/>
        <v>802.5516765274253</v>
      </c>
      <c r="I23" s="109">
        <f t="shared" si="2"/>
        <v>922.2746454755797</v>
      </c>
      <c r="J23" s="109">
        <f t="shared" si="2"/>
        <v>1056.2848205522223</v>
      </c>
      <c r="K23" s="109">
        <f t="shared" si="2"/>
        <v>1206.1914787705755</v>
      </c>
      <c r="L23" s="278">
        <f t="shared" si="2"/>
        <v>1373.784221347177</v>
      </c>
    </row>
    <row r="24" spans="1:12" ht="15">
      <c r="A24" s="103" t="s">
        <v>139</v>
      </c>
      <c r="B24" s="108"/>
      <c r="C24" s="109">
        <f>C23*0.25</f>
        <v>93.10040010996218</v>
      </c>
      <c r="D24" s="109">
        <f aca="true" t="shared" si="3" ref="D24:L24">D23*0.25</f>
        <v>109.92257883470798</v>
      </c>
      <c r="E24" s="109">
        <f t="shared" si="3"/>
        <v>128.83732514599993</v>
      </c>
      <c r="F24" s="109">
        <f t="shared" si="3"/>
        <v>150.0811805455611</v>
      </c>
      <c r="G24" s="109">
        <f t="shared" si="3"/>
        <v>173.91719950957068</v>
      </c>
      <c r="H24" s="109">
        <f t="shared" si="3"/>
        <v>200.63791913185634</v>
      </c>
      <c r="I24" s="109">
        <f t="shared" si="3"/>
        <v>230.56866136889494</v>
      </c>
      <c r="J24" s="109">
        <f t="shared" si="3"/>
        <v>264.0712051380556</v>
      </c>
      <c r="K24" s="109">
        <f t="shared" si="3"/>
        <v>301.54786969264387</v>
      </c>
      <c r="L24" s="278">
        <f t="shared" si="3"/>
        <v>343.44605533679425</v>
      </c>
    </row>
    <row r="25" spans="1:12" ht="15">
      <c r="A25" s="111" t="s">
        <v>166</v>
      </c>
      <c r="B25" s="108"/>
      <c r="C25" s="109">
        <f>C23-C24</f>
        <v>279.30120032988657</v>
      </c>
      <c r="D25" s="109">
        <f aca="true" t="shared" si="4" ref="D25:L25">D23-D24</f>
        <v>329.76773650412395</v>
      </c>
      <c r="E25" s="109">
        <f t="shared" si="4"/>
        <v>386.5119754379998</v>
      </c>
      <c r="F25" s="109">
        <f t="shared" si="4"/>
        <v>450.2435416366833</v>
      </c>
      <c r="G25" s="109">
        <f t="shared" si="4"/>
        <v>521.7515985287121</v>
      </c>
      <c r="H25" s="109">
        <f t="shared" si="4"/>
        <v>601.9137573955691</v>
      </c>
      <c r="I25" s="109">
        <f t="shared" si="4"/>
        <v>691.7059841066848</v>
      </c>
      <c r="J25" s="109">
        <f t="shared" si="4"/>
        <v>792.2136154141667</v>
      </c>
      <c r="K25" s="109">
        <f t="shared" si="4"/>
        <v>904.6436090779316</v>
      </c>
      <c r="L25" s="278">
        <f t="shared" si="4"/>
        <v>1030.3381660103828</v>
      </c>
    </row>
    <row r="26" spans="1:12" ht="15">
      <c r="A26" s="112" t="s">
        <v>140</v>
      </c>
      <c r="B26" s="106">
        <f>'Inversion Total'!G28+'Inversion Total'!G27</f>
        <v>12811.849999999999</v>
      </c>
      <c r="C26" s="113"/>
      <c r="D26" s="113"/>
      <c r="E26" s="113"/>
      <c r="F26" s="113"/>
      <c r="G26" s="113"/>
      <c r="H26" s="113"/>
      <c r="I26" s="113"/>
      <c r="J26" s="113"/>
      <c r="K26" s="113"/>
      <c r="L26" s="280"/>
    </row>
    <row r="27" spans="1:12" ht="15">
      <c r="A27" s="103" t="s">
        <v>141</v>
      </c>
      <c r="B27" s="106">
        <f>'Inversion Total'!G29</f>
        <v>3923.7365755665596</v>
      </c>
      <c r="C27" s="113"/>
      <c r="D27" s="113"/>
      <c r="E27" s="113"/>
      <c r="F27" s="113"/>
      <c r="G27" s="113"/>
      <c r="H27" s="113"/>
      <c r="I27" s="113"/>
      <c r="J27" s="113"/>
      <c r="K27" s="113"/>
      <c r="L27" s="280"/>
    </row>
    <row r="28" spans="1:12" ht="15">
      <c r="A28" s="103" t="s">
        <v>142</v>
      </c>
      <c r="B28" s="106">
        <f>Financiamiento!B10</f>
        <v>13388.469260453247</v>
      </c>
      <c r="C28" s="113"/>
      <c r="D28" s="113"/>
      <c r="E28" s="113"/>
      <c r="F28" s="113"/>
      <c r="G28" s="113"/>
      <c r="H28" s="114"/>
      <c r="I28" s="114"/>
      <c r="J28" s="114"/>
      <c r="K28" s="114"/>
      <c r="L28" s="115"/>
    </row>
    <row r="29" spans="1:12" ht="26.25">
      <c r="A29" s="103" t="s">
        <v>161</v>
      </c>
      <c r="B29" s="108"/>
      <c r="C29" s="109">
        <f>Depreciacion!$E$12</f>
        <v>1710.7980000000002</v>
      </c>
      <c r="D29" s="109">
        <f>Depreciacion!$E$12</f>
        <v>1710.7980000000002</v>
      </c>
      <c r="E29" s="109">
        <f>Depreciacion!$E$12</f>
        <v>1710.7980000000002</v>
      </c>
      <c r="F29" s="109">
        <f>Depreciacion!$E$12</f>
        <v>1710.7980000000002</v>
      </c>
      <c r="G29" s="109">
        <f>Depreciacion!$E$12</f>
        <v>1710.7980000000002</v>
      </c>
      <c r="H29" s="109">
        <f>Depreciacion!$E$12</f>
        <v>1710.7980000000002</v>
      </c>
      <c r="I29" s="109">
        <f>Depreciacion!$E$12</f>
        <v>1710.7980000000002</v>
      </c>
      <c r="J29" s="109">
        <f>Depreciacion!$E$12</f>
        <v>1710.7980000000002</v>
      </c>
      <c r="K29" s="109">
        <f>Depreciacion!$E$12</f>
        <v>1710.7980000000002</v>
      </c>
      <c r="L29" s="278">
        <f>Depreciacion!$E$12</f>
        <v>1710.7980000000002</v>
      </c>
    </row>
    <row r="30" spans="1:12" ht="15">
      <c r="A30" s="103" t="s">
        <v>162</v>
      </c>
      <c r="B30" s="108"/>
      <c r="C30" s="109">
        <f>Depreciacion!$E$6</f>
        <v>432</v>
      </c>
      <c r="D30" s="109">
        <f>Depreciacion!$E$6</f>
        <v>432</v>
      </c>
      <c r="E30" s="109">
        <f>Depreciacion!$E$6</f>
        <v>432</v>
      </c>
      <c r="F30" s="109">
        <f>Depreciacion!$E$6</f>
        <v>432</v>
      </c>
      <c r="G30" s="109">
        <f>Depreciacion!$E$6</f>
        <v>432</v>
      </c>
      <c r="H30" s="109">
        <f>Depreciacion!$E$6</f>
        <v>432</v>
      </c>
      <c r="I30" s="109">
        <f>Depreciacion!$E$6</f>
        <v>432</v>
      </c>
      <c r="J30" s="109">
        <f>Depreciacion!$E$6</f>
        <v>432</v>
      </c>
      <c r="K30" s="109">
        <f>Depreciacion!$E$6</f>
        <v>432</v>
      </c>
      <c r="L30" s="278">
        <f>Depreciacion!$E$6</f>
        <v>432</v>
      </c>
    </row>
    <row r="31" spans="1:12" ht="15">
      <c r="A31" s="103" t="s">
        <v>163</v>
      </c>
      <c r="B31" s="108"/>
      <c r="C31" s="109">
        <f>Depreciacion!$E$7</f>
        <v>42.03</v>
      </c>
      <c r="D31" s="109">
        <f>Depreciacion!$E$7</f>
        <v>42.03</v>
      </c>
      <c r="E31" s="109">
        <f>Depreciacion!$E$7</f>
        <v>42.03</v>
      </c>
      <c r="F31" s="109">
        <f>Depreciacion!$E$7</f>
        <v>42.03</v>
      </c>
      <c r="G31" s="109">
        <f>Depreciacion!$E$7</f>
        <v>42.03</v>
      </c>
      <c r="H31" s="109">
        <f>Depreciacion!$E$7</f>
        <v>42.03</v>
      </c>
      <c r="I31" s="109">
        <f>Depreciacion!$E$7</f>
        <v>42.03</v>
      </c>
      <c r="J31" s="109">
        <f>Depreciacion!$E$7</f>
        <v>42.03</v>
      </c>
      <c r="K31" s="109">
        <f>Depreciacion!$E$7</f>
        <v>42.03</v>
      </c>
      <c r="L31" s="278">
        <f>Depreciacion!$E$7</f>
        <v>42.03</v>
      </c>
    </row>
    <row r="32" spans="1:12" ht="15">
      <c r="A32" s="103" t="s">
        <v>164</v>
      </c>
      <c r="B32" s="108"/>
      <c r="C32" s="109">
        <f>Depreciacion!$E$4</f>
        <v>63</v>
      </c>
      <c r="D32" s="109">
        <f>Depreciacion!$E$4</f>
        <v>63</v>
      </c>
      <c r="E32" s="109">
        <f>Depreciacion!$E$4</f>
        <v>63</v>
      </c>
      <c r="F32" s="109">
        <f>Depreciacion!$E$4</f>
        <v>63</v>
      </c>
      <c r="G32" s="109">
        <f>Depreciacion!$E$4</f>
        <v>63</v>
      </c>
      <c r="H32" s="109">
        <f>Depreciacion!$E$4</f>
        <v>63</v>
      </c>
      <c r="I32" s="109">
        <f>Depreciacion!$E$4</f>
        <v>63</v>
      </c>
      <c r="J32" s="109">
        <f>Depreciacion!$E$4</f>
        <v>63</v>
      </c>
      <c r="K32" s="109">
        <f>Depreciacion!$E$4</f>
        <v>63</v>
      </c>
      <c r="L32" s="278">
        <f>Depreciacion!$E$4</f>
        <v>63</v>
      </c>
    </row>
    <row r="33" spans="1:12" ht="15.75" thickBot="1">
      <c r="A33" s="103" t="s">
        <v>143</v>
      </c>
      <c r="B33" s="108"/>
      <c r="C33" s="109">
        <f>Financiamiento!C8:G8</f>
        <v>792.9718214178833</v>
      </c>
      <c r="D33" s="109">
        <f>Financiamiento!D8:H8</f>
        <v>881.7846654166865</v>
      </c>
      <c r="E33" s="109">
        <f>Financiamiento!E8:I8</f>
        <v>980.5445479433554</v>
      </c>
      <c r="F33" s="109">
        <f>Financiamiento!F8:J8</f>
        <v>1090.3655373130114</v>
      </c>
      <c r="G33" s="109">
        <f>Financiamiento!G8:K8</f>
        <v>1212.4864774920684</v>
      </c>
      <c r="H33" s="109">
        <f>Financiamiento!H8:L8</f>
        <v>1348.2849629711804</v>
      </c>
      <c r="I33" s="109">
        <f>Financiamiento!I8:M8</f>
        <v>1499.292878823953</v>
      </c>
      <c r="J33" s="109">
        <f>Financiamiento!J8:N8</f>
        <v>1667.2136812522365</v>
      </c>
      <c r="K33" s="109">
        <f>Financiamiento!K8:O8</f>
        <v>1853.9416135524866</v>
      </c>
      <c r="L33" s="278">
        <f>Financiamiento!L8:P8</f>
        <v>2061.5830742703656</v>
      </c>
    </row>
    <row r="34" spans="1:12" ht="15" hidden="1">
      <c r="A34" s="103" t="s">
        <v>144</v>
      </c>
      <c r="B34" s="108"/>
      <c r="C34" s="109"/>
      <c r="D34" s="109"/>
      <c r="E34" s="109"/>
      <c r="F34" s="109"/>
      <c r="G34" s="109"/>
      <c r="H34" s="116"/>
      <c r="I34" s="116"/>
      <c r="J34" s="116"/>
      <c r="K34" s="116"/>
      <c r="L34" s="117"/>
    </row>
    <row r="35" spans="1:12" ht="15" hidden="1">
      <c r="A35" s="103" t="s">
        <v>145</v>
      </c>
      <c r="B35" s="108"/>
      <c r="C35" s="109"/>
      <c r="D35" s="109"/>
      <c r="E35" s="109"/>
      <c r="F35" s="109"/>
      <c r="G35" s="109"/>
      <c r="H35" s="116"/>
      <c r="I35" s="116"/>
      <c r="J35" s="116"/>
      <c r="K35" s="116"/>
      <c r="L35" s="117"/>
    </row>
    <row r="36" spans="1:12" ht="15.75" hidden="1" thickBot="1">
      <c r="A36" s="103" t="s">
        <v>146</v>
      </c>
      <c r="B36" s="108"/>
      <c r="C36" s="109"/>
      <c r="D36" s="109"/>
      <c r="E36" s="109"/>
      <c r="F36" s="109"/>
      <c r="G36" s="109"/>
      <c r="H36" s="116"/>
      <c r="I36" s="116"/>
      <c r="J36" s="116"/>
      <c r="K36" s="116"/>
      <c r="L36" s="117"/>
    </row>
    <row r="37" spans="1:12" ht="15.75" thickBot="1">
      <c r="A37" s="118" t="s">
        <v>130</v>
      </c>
      <c r="B37" s="119">
        <f>B28-B27-B26</f>
        <v>-3347.1173151133116</v>
      </c>
      <c r="C37" s="119">
        <f aca="true" t="shared" si="5" ref="C37:L37">C25+C29+C30+C31+C32-C33</f>
        <v>1734.1573789120039</v>
      </c>
      <c r="D37" s="119">
        <f t="shared" si="5"/>
        <v>1695.811071087438</v>
      </c>
      <c r="E37" s="119">
        <f t="shared" si="5"/>
        <v>1653.7954274946449</v>
      </c>
      <c r="F37" s="119">
        <f t="shared" si="5"/>
        <v>1607.7060043236725</v>
      </c>
      <c r="G37" s="119">
        <f t="shared" si="5"/>
        <v>1557.0931210366443</v>
      </c>
      <c r="H37" s="119">
        <f t="shared" si="5"/>
        <v>1501.456794424389</v>
      </c>
      <c r="I37" s="119">
        <f t="shared" si="5"/>
        <v>1440.2411052827322</v>
      </c>
      <c r="J37" s="119">
        <f t="shared" si="5"/>
        <v>1372.8279341619307</v>
      </c>
      <c r="K37" s="119">
        <f t="shared" si="5"/>
        <v>1298.5299955254454</v>
      </c>
      <c r="L37" s="281">
        <f t="shared" si="5"/>
        <v>1216.5830917400176</v>
      </c>
    </row>
    <row r="39" spans="1:4" ht="15">
      <c r="A39" s="146" t="s">
        <v>196</v>
      </c>
      <c r="C39" s="28">
        <f>CAPM!C12</f>
        <v>0.37819800000000003</v>
      </c>
      <c r="D39" s="47"/>
    </row>
    <row r="40" spans="1:4" ht="15.75" thickBot="1">
      <c r="A40" s="147" t="s">
        <v>167</v>
      </c>
      <c r="C40" s="45">
        <f>NPV(C39,C37:L37)+B37</f>
        <v>793.1374824122186</v>
      </c>
      <c r="D40" s="47"/>
    </row>
    <row r="41" spans="1:11" ht="15">
      <c r="A41" s="147" t="s">
        <v>168</v>
      </c>
      <c r="C41" s="5">
        <f>IRR(B37:L37)</f>
        <v>0.4833270452385104</v>
      </c>
      <c r="D41" s="47"/>
      <c r="J41" s="233" t="s">
        <v>266</v>
      </c>
      <c r="K41" s="230">
        <f>B37</f>
        <v>-3347.1173151133116</v>
      </c>
    </row>
    <row r="42" spans="1:11" ht="15">
      <c r="A42" s="148"/>
      <c r="D42" s="47"/>
      <c r="J42" s="234" t="s">
        <v>267</v>
      </c>
      <c r="K42" s="231">
        <f>C37</f>
        <v>1734.1573789120039</v>
      </c>
    </row>
    <row r="43" spans="1:11" ht="15">
      <c r="A43" s="148" t="s">
        <v>194</v>
      </c>
      <c r="B43" s="145">
        <f>-PV($C$39,B4,,B37)</f>
        <v>-3347.1173151133116</v>
      </c>
      <c r="C43" s="145">
        <f aca="true" t="shared" si="6" ref="C43:H43">-PV($C$39,C4,,C37)</f>
        <v>1258.2788386806567</v>
      </c>
      <c r="D43" s="145">
        <f t="shared" si="6"/>
        <v>892.8001108962883</v>
      </c>
      <c r="E43" s="145">
        <f t="shared" si="6"/>
        <v>631.752458682867</v>
      </c>
      <c r="F43" s="145">
        <f t="shared" si="6"/>
        <v>445.61538068009116</v>
      </c>
      <c r="G43" s="145">
        <f t="shared" si="6"/>
        <v>313.15295151625463</v>
      </c>
      <c r="H43" s="145">
        <f t="shared" si="6"/>
        <v>219.10038842859413</v>
      </c>
      <c r="J43" s="234" t="s">
        <v>268</v>
      </c>
      <c r="K43" s="231">
        <f>D37</f>
        <v>1695.811071087438</v>
      </c>
    </row>
    <row r="44" spans="1:11" ht="15">
      <c r="A44" s="148" t="s">
        <v>195</v>
      </c>
      <c r="C44" s="145">
        <f>B43+C43</f>
        <v>-2088.8384764326547</v>
      </c>
      <c r="D44" s="145">
        <f>C44+D43</f>
        <v>-1196.0383655363664</v>
      </c>
      <c r="E44" s="145">
        <f>D44+E43</f>
        <v>-564.2859068534995</v>
      </c>
      <c r="F44" s="145">
        <f>E44+F43</f>
        <v>-118.67052617340829</v>
      </c>
      <c r="G44" s="145">
        <f>F44+G43</f>
        <v>194.48242534284634</v>
      </c>
      <c r="H44" s="145">
        <f>G44+H43</f>
        <v>413.58281377144044</v>
      </c>
      <c r="I44" s="145"/>
      <c r="J44" s="234" t="s">
        <v>269</v>
      </c>
      <c r="K44" s="231">
        <f>E37</f>
        <v>1653.7954274946449</v>
      </c>
    </row>
    <row r="45" spans="1:11" ht="15">
      <c r="A45" s="148"/>
      <c r="J45" s="234" t="s">
        <v>270</v>
      </c>
      <c r="K45" s="231">
        <f>F37</f>
        <v>1607.7060043236725</v>
      </c>
    </row>
    <row r="46" spans="1:11" ht="15">
      <c r="A46" s="148" t="s">
        <v>197</v>
      </c>
      <c r="B46" s="20">
        <f>5-(F44/G43)</f>
        <v>5.378953880520103</v>
      </c>
      <c r="C46" t="s">
        <v>198</v>
      </c>
      <c r="J46" s="234" t="s">
        <v>271</v>
      </c>
      <c r="K46" s="231">
        <f>G37</f>
        <v>1557.0931210366443</v>
      </c>
    </row>
    <row r="47" spans="10:11" ht="15">
      <c r="J47" s="234" t="s">
        <v>272</v>
      </c>
      <c r="K47" s="231">
        <f>H37</f>
        <v>1501.456794424389</v>
      </c>
    </row>
    <row r="48" spans="10:11" ht="15">
      <c r="J48" s="234" t="s">
        <v>273</v>
      </c>
      <c r="K48" s="231">
        <f>I37</f>
        <v>1440.2411052827322</v>
      </c>
    </row>
    <row r="49" spans="10:11" ht="15">
      <c r="J49" s="234" t="s">
        <v>274</v>
      </c>
      <c r="K49" s="231">
        <f>J37</f>
        <v>1372.8279341619307</v>
      </c>
    </row>
    <row r="50" spans="10:11" ht="15">
      <c r="J50" s="234" t="s">
        <v>275</v>
      </c>
      <c r="K50" s="231">
        <f>K37</f>
        <v>1298.5299955254454</v>
      </c>
    </row>
    <row r="51" spans="10:11" ht="15.75" thickBot="1">
      <c r="J51" s="235" t="s">
        <v>276</v>
      </c>
      <c r="K51" s="232">
        <f>L37</f>
        <v>1216.5830917400176</v>
      </c>
    </row>
  </sheetData>
  <sheetProtection/>
  <mergeCells count="1">
    <mergeCell ref="A2:L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D1" sqref="D1"/>
    </sheetView>
  </sheetViews>
  <sheetFormatPr defaultColWidth="11.421875" defaultRowHeight="15"/>
  <cols>
    <col min="1" max="1" width="45.7109375" style="0" bestFit="1" customWidth="1"/>
    <col min="2" max="2" width="13.00390625" style="0" bestFit="1" customWidth="1"/>
    <col min="3" max="3" width="14.00390625" style="0" customWidth="1"/>
    <col min="4" max="12" width="12.00390625" style="0" bestFit="1" customWidth="1"/>
  </cols>
  <sheetData>
    <row r="1" spans="1:3" ht="32.25" thickBot="1">
      <c r="A1" s="399" t="s">
        <v>201</v>
      </c>
      <c r="B1" s="399"/>
      <c r="C1" s="399"/>
    </row>
    <row r="2" spans="1:3" ht="15.75" thickBot="1">
      <c r="A2" s="56" t="s">
        <v>41</v>
      </c>
      <c r="B2" s="168" t="s">
        <v>199</v>
      </c>
      <c r="C2" s="56" t="s">
        <v>200</v>
      </c>
    </row>
    <row r="3" spans="1:5" ht="15">
      <c r="A3" s="224">
        <v>129.076455</v>
      </c>
      <c r="B3" s="10">
        <v>56</v>
      </c>
      <c r="C3" s="16"/>
      <c r="E3" s="45"/>
    </row>
    <row r="4" spans="1:5" ht="14.25" customHeight="1">
      <c r="A4" s="224">
        <v>129.076455</v>
      </c>
      <c r="B4" s="10">
        <v>67.2</v>
      </c>
      <c r="C4" s="16"/>
      <c r="E4" s="45"/>
    </row>
    <row r="5" spans="1:6" ht="15">
      <c r="A5" s="224">
        <v>172.10194</v>
      </c>
      <c r="B5" s="10">
        <v>78.4</v>
      </c>
      <c r="C5" s="16"/>
      <c r="F5" s="32"/>
    </row>
    <row r="6" spans="1:3" ht="15.75" thickBot="1">
      <c r="A6" s="167"/>
      <c r="B6" s="284"/>
      <c r="C6" s="285">
        <v>15696</v>
      </c>
    </row>
    <row r="7" spans="1:12" ht="15">
      <c r="A7" s="392" t="s">
        <v>130</v>
      </c>
      <c r="B7" s="393"/>
      <c r="C7" s="393"/>
      <c r="D7" s="393"/>
      <c r="E7" s="393"/>
      <c r="F7" s="393"/>
      <c r="G7" s="393"/>
      <c r="H7" s="394"/>
      <c r="I7" s="394"/>
      <c r="J7" s="394"/>
      <c r="K7" s="394"/>
      <c r="L7" s="395"/>
    </row>
    <row r="8" spans="1:12" ht="15.75" thickBot="1">
      <c r="A8" s="396"/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8"/>
    </row>
    <row r="9" spans="1:12" ht="15.75" thickBot="1">
      <c r="A9" s="100" t="s">
        <v>47</v>
      </c>
      <c r="B9" s="101">
        <v>0</v>
      </c>
      <c r="C9" s="101">
        <v>1</v>
      </c>
      <c r="D9" s="101">
        <v>2</v>
      </c>
      <c r="E9" s="101">
        <v>3</v>
      </c>
      <c r="F9" s="101">
        <v>4</v>
      </c>
      <c r="G9" s="101">
        <v>5</v>
      </c>
      <c r="H9" s="101">
        <v>6</v>
      </c>
      <c r="I9" s="101">
        <v>7</v>
      </c>
      <c r="J9" s="101">
        <v>8</v>
      </c>
      <c r="K9" s="101">
        <v>9</v>
      </c>
      <c r="L9" s="102">
        <v>10</v>
      </c>
    </row>
    <row r="10" spans="1:12" ht="15">
      <c r="A10" s="103" t="s">
        <v>131</v>
      </c>
      <c r="B10" s="104"/>
      <c r="C10" s="105">
        <f>($A$3*$B$3)+($A$4*$B$4)+($A$5*$B$5)</f>
        <v>29395.011352</v>
      </c>
      <c r="D10" s="105">
        <f>C10+(1+'Capital de Trabajo'!$L$3)</f>
        <v>29396.020702</v>
      </c>
      <c r="E10" s="105">
        <f>D10+(1+'Capital de Trabajo'!$L$3)</f>
        <v>29397.030052000002</v>
      </c>
      <c r="F10" s="105">
        <f>E10+(1+'Capital de Trabajo'!$L$3)</f>
        <v>29398.039402000002</v>
      </c>
      <c r="G10" s="105">
        <f>F10+(1+'Capital de Trabajo'!$L$3)</f>
        <v>29399.048752000002</v>
      </c>
      <c r="H10" s="105">
        <f>G10+(1+'Capital de Trabajo'!$L$3)</f>
        <v>29400.058102000003</v>
      </c>
      <c r="I10" s="105">
        <f>H10+(1+'Capital de Trabajo'!$L$3)</f>
        <v>29401.067452000003</v>
      </c>
      <c r="J10" s="105">
        <f>I10+(1+'Capital de Trabajo'!$L$3)</f>
        <v>29402.076802000003</v>
      </c>
      <c r="K10" s="105">
        <f>J10+(1+'Capital de Trabajo'!$L$3)</f>
        <v>29403.086152000003</v>
      </c>
      <c r="L10" s="276">
        <f>K10+(1+'Capital de Trabajo'!$L$3)</f>
        <v>29404.095502000004</v>
      </c>
    </row>
    <row r="11" spans="1:12" ht="15">
      <c r="A11" s="103" t="s">
        <v>152</v>
      </c>
      <c r="B11" s="106"/>
      <c r="C11" s="107">
        <f>'Estado de Resultados'!C5</f>
        <v>1140</v>
      </c>
      <c r="D11" s="107">
        <f>'Estado de Resultados'!D5</f>
        <v>1150.6589999999999</v>
      </c>
      <c r="E11" s="107">
        <f>'Estado de Resultados'!E5</f>
        <v>1161.41766165</v>
      </c>
      <c r="F11" s="107">
        <f>'Estado de Resultados'!F5</f>
        <v>1172.2769167864274</v>
      </c>
      <c r="G11" s="107">
        <f>'Estado de Resultados'!G5</f>
        <v>1183.2377059583805</v>
      </c>
      <c r="H11" s="107">
        <f>'Estado de Resultados'!H5</f>
        <v>1194.3009785090912</v>
      </c>
      <c r="I11" s="107">
        <f>'Estado de Resultados'!I5</f>
        <v>1205.4676926581512</v>
      </c>
      <c r="J11" s="107">
        <f>'Estado de Resultados'!J5</f>
        <v>1216.738815584505</v>
      </c>
      <c r="K11" s="107">
        <f>'Estado de Resultados'!K5</f>
        <v>1228.11532351022</v>
      </c>
      <c r="L11" s="277">
        <f>'Estado de Resultados'!L5</f>
        <v>1239.5982017850404</v>
      </c>
    </row>
    <row r="12" spans="1:12" ht="15">
      <c r="A12" s="103" t="s">
        <v>153</v>
      </c>
      <c r="B12" s="106"/>
      <c r="C12" s="107">
        <f>costos!$C$10</f>
        <v>1548</v>
      </c>
      <c r="D12" s="107">
        <f>costos!$C$10</f>
        <v>1548</v>
      </c>
      <c r="E12" s="107">
        <f>costos!$C$10</f>
        <v>1548</v>
      </c>
      <c r="F12" s="107">
        <f>costos!$C$10</f>
        <v>1548</v>
      </c>
      <c r="G12" s="107">
        <f>costos!$C$10</f>
        <v>1548</v>
      </c>
      <c r="H12" s="107">
        <f>costos!$C$10</f>
        <v>1548</v>
      </c>
      <c r="I12" s="107">
        <f>costos!$C$10</f>
        <v>1548</v>
      </c>
      <c r="J12" s="107">
        <f>costos!$C$10</f>
        <v>1548</v>
      </c>
      <c r="K12" s="107">
        <f>costos!$C$10</f>
        <v>1548</v>
      </c>
      <c r="L12" s="277">
        <f>costos!$C$10</f>
        <v>1548</v>
      </c>
    </row>
    <row r="13" spans="1:12" ht="15">
      <c r="A13" s="103" t="s">
        <v>132</v>
      </c>
      <c r="B13" s="106"/>
      <c r="C13" s="107">
        <f>$C$6</f>
        <v>15696</v>
      </c>
      <c r="D13" s="107">
        <f aca="true" t="shared" si="0" ref="D13:L13">$C$6</f>
        <v>15696</v>
      </c>
      <c r="E13" s="107">
        <f t="shared" si="0"/>
        <v>15696</v>
      </c>
      <c r="F13" s="107">
        <f t="shared" si="0"/>
        <v>15696</v>
      </c>
      <c r="G13" s="107">
        <f t="shared" si="0"/>
        <v>15696</v>
      </c>
      <c r="H13" s="107">
        <f t="shared" si="0"/>
        <v>15696</v>
      </c>
      <c r="I13" s="107">
        <f t="shared" si="0"/>
        <v>15696</v>
      </c>
      <c r="J13" s="107">
        <f t="shared" si="0"/>
        <v>15696</v>
      </c>
      <c r="K13" s="107">
        <f t="shared" si="0"/>
        <v>15696</v>
      </c>
      <c r="L13" s="277">
        <f t="shared" si="0"/>
        <v>15696</v>
      </c>
    </row>
    <row r="14" spans="1:12" ht="15">
      <c r="A14" s="103" t="s">
        <v>133</v>
      </c>
      <c r="B14" s="106"/>
      <c r="C14" s="107">
        <f>costos!$C$5</f>
        <v>3600</v>
      </c>
      <c r="D14" s="107">
        <f>costos!$C$5</f>
        <v>3600</v>
      </c>
      <c r="E14" s="107">
        <f>costos!$C$5</f>
        <v>3600</v>
      </c>
      <c r="F14" s="107">
        <f>costos!$C$5</f>
        <v>3600</v>
      </c>
      <c r="G14" s="107">
        <f>costos!$C$5</f>
        <v>3600</v>
      </c>
      <c r="H14" s="107">
        <f>costos!$C$5</f>
        <v>3600</v>
      </c>
      <c r="I14" s="107">
        <f>costos!$C$5</f>
        <v>3600</v>
      </c>
      <c r="J14" s="107">
        <f>costos!$C$5</f>
        <v>3600</v>
      </c>
      <c r="K14" s="107">
        <f>costos!$C$5</f>
        <v>3600</v>
      </c>
      <c r="L14" s="277">
        <f>costos!$C$5</f>
        <v>3600</v>
      </c>
    </row>
    <row r="15" spans="1:12" ht="15">
      <c r="A15" s="103" t="s">
        <v>134</v>
      </c>
      <c r="B15" s="106"/>
      <c r="C15" s="107">
        <f>costos!$D$9</f>
        <v>672</v>
      </c>
      <c r="D15" s="107">
        <f>costos!$D$9</f>
        <v>672</v>
      </c>
      <c r="E15" s="107">
        <f>costos!$D$9</f>
        <v>672</v>
      </c>
      <c r="F15" s="107">
        <f>costos!$D$9</f>
        <v>672</v>
      </c>
      <c r="G15" s="107">
        <f>costos!$D$9</f>
        <v>672</v>
      </c>
      <c r="H15" s="107">
        <f>costos!$D$9</f>
        <v>672</v>
      </c>
      <c r="I15" s="107">
        <f>costos!$D$9</f>
        <v>672</v>
      </c>
      <c r="J15" s="107">
        <f>costos!$D$9</f>
        <v>672</v>
      </c>
      <c r="K15" s="107">
        <f>costos!$D$9</f>
        <v>672</v>
      </c>
      <c r="L15" s="277">
        <f>costos!$D$9</f>
        <v>672</v>
      </c>
    </row>
    <row r="16" spans="1:12" ht="15">
      <c r="A16" s="103" t="s">
        <v>155</v>
      </c>
      <c r="B16" s="106"/>
      <c r="C16" s="107">
        <f>costos!$C$11</f>
        <v>1080</v>
      </c>
      <c r="D16" s="107">
        <f>costos!$C$11</f>
        <v>1080</v>
      </c>
      <c r="E16" s="107">
        <f>costos!$C$11</f>
        <v>1080</v>
      </c>
      <c r="F16" s="107">
        <f>costos!$C$11</f>
        <v>1080</v>
      </c>
      <c r="G16" s="107">
        <f>costos!$C$11</f>
        <v>1080</v>
      </c>
      <c r="H16" s="107">
        <f>costos!$C$11</f>
        <v>1080</v>
      </c>
      <c r="I16" s="107">
        <f>costos!$C$11</f>
        <v>1080</v>
      </c>
      <c r="J16" s="107">
        <f>costos!$C$11</f>
        <v>1080</v>
      </c>
      <c r="K16" s="107">
        <f>costos!$C$11</f>
        <v>1080</v>
      </c>
      <c r="L16" s="277">
        <f>costos!$C$11</f>
        <v>1080</v>
      </c>
    </row>
    <row r="17" spans="1:12" ht="15">
      <c r="A17" s="103" t="s">
        <v>156</v>
      </c>
      <c r="B17" s="106"/>
      <c r="C17" s="107">
        <f>costos!$C$12</f>
        <v>180</v>
      </c>
      <c r="D17" s="107">
        <f>costos!$C$12</f>
        <v>180</v>
      </c>
      <c r="E17" s="107">
        <f>costos!$C$12</f>
        <v>180</v>
      </c>
      <c r="F17" s="107">
        <f>costos!$C$12</f>
        <v>180</v>
      </c>
      <c r="G17" s="107">
        <f>costos!$C$12</f>
        <v>180</v>
      </c>
      <c r="H17" s="107">
        <f>costos!$C$12</f>
        <v>180</v>
      </c>
      <c r="I17" s="107">
        <f>costos!$C$12</f>
        <v>180</v>
      </c>
      <c r="J17" s="107">
        <f>costos!$C$12</f>
        <v>180</v>
      </c>
      <c r="K17" s="107">
        <f>costos!$C$12</f>
        <v>180</v>
      </c>
      <c r="L17" s="277">
        <f>costos!$C$12</f>
        <v>180</v>
      </c>
    </row>
    <row r="18" spans="1:12" ht="15">
      <c r="A18" s="103" t="s">
        <v>157</v>
      </c>
      <c r="B18" s="106"/>
      <c r="C18" s="107">
        <f>costos!$C$13</f>
        <v>1188</v>
      </c>
      <c r="D18" s="107">
        <f>costos!$C$13</f>
        <v>1188</v>
      </c>
      <c r="E18" s="107">
        <f>costos!$C$13</f>
        <v>1188</v>
      </c>
      <c r="F18" s="107">
        <f>costos!$C$13</f>
        <v>1188</v>
      </c>
      <c r="G18" s="107">
        <f>costos!$C$13</f>
        <v>1188</v>
      </c>
      <c r="H18" s="107">
        <f>costos!$C$13</f>
        <v>1188</v>
      </c>
      <c r="I18" s="107">
        <f>costos!$C$13</f>
        <v>1188</v>
      </c>
      <c r="J18" s="107">
        <f>costos!$C$13</f>
        <v>1188</v>
      </c>
      <c r="K18" s="107">
        <f>costos!$C$13</f>
        <v>1188</v>
      </c>
      <c r="L18" s="277">
        <f>costos!$C$13</f>
        <v>1188</v>
      </c>
    </row>
    <row r="19" spans="1:12" ht="15">
      <c r="A19" s="103" t="s">
        <v>206</v>
      </c>
      <c r="B19" s="106"/>
      <c r="C19" s="107">
        <f>costos!$C$14</f>
        <v>18.228664900000002</v>
      </c>
      <c r="D19" s="107">
        <f>costos!$C$14</f>
        <v>18.228664900000002</v>
      </c>
      <c r="E19" s="107">
        <f>costos!$C$14</f>
        <v>18.228664900000002</v>
      </c>
      <c r="F19" s="107">
        <f>costos!$C$14</f>
        <v>18.228664900000002</v>
      </c>
      <c r="G19" s="107">
        <f>costos!$C$14</f>
        <v>18.228664900000002</v>
      </c>
      <c r="H19" s="107">
        <f>costos!$C$14</f>
        <v>18.228664900000002</v>
      </c>
      <c r="I19" s="107">
        <f>costos!$C$14</f>
        <v>18.228664900000002</v>
      </c>
      <c r="J19" s="107">
        <f>costos!$C$14</f>
        <v>18.228664900000002</v>
      </c>
      <c r="K19" s="107">
        <f>costos!$C$14</f>
        <v>18.228664900000002</v>
      </c>
      <c r="L19" s="277">
        <f>costos!$C$14</f>
        <v>18.228664900000002</v>
      </c>
    </row>
    <row r="20" spans="1:12" ht="15">
      <c r="A20" s="103" t="s">
        <v>207</v>
      </c>
      <c r="B20" s="106"/>
      <c r="C20" s="107">
        <f>costos!$C$15</f>
        <v>87.3266</v>
      </c>
      <c r="D20" s="107">
        <f>costos!$C$15</f>
        <v>87.3266</v>
      </c>
      <c r="E20" s="107">
        <f>costos!$C$15</f>
        <v>87.3266</v>
      </c>
      <c r="F20" s="107">
        <f>costos!$C$15</f>
        <v>87.3266</v>
      </c>
      <c r="G20" s="107">
        <f>costos!$C$15</f>
        <v>87.3266</v>
      </c>
      <c r="H20" s="107">
        <f>costos!$C$15</f>
        <v>87.3266</v>
      </c>
      <c r="I20" s="107">
        <f>costos!$C$15</f>
        <v>87.3266</v>
      </c>
      <c r="J20" s="107">
        <f>costos!$C$15</f>
        <v>87.3266</v>
      </c>
      <c r="K20" s="107">
        <f>costos!$C$15</f>
        <v>87.3266</v>
      </c>
      <c r="L20" s="277">
        <f>costos!$C$15</f>
        <v>87.3266</v>
      </c>
    </row>
    <row r="21" spans="1:12" ht="26.25">
      <c r="A21" s="103" t="s">
        <v>158</v>
      </c>
      <c r="B21" s="108"/>
      <c r="C21" s="109">
        <f>Depreciacion!$E$12</f>
        <v>1710.7980000000002</v>
      </c>
      <c r="D21" s="109">
        <f>Depreciacion!$E$12</f>
        <v>1710.7980000000002</v>
      </c>
      <c r="E21" s="109">
        <f>Depreciacion!$E$12</f>
        <v>1710.7980000000002</v>
      </c>
      <c r="F21" s="109">
        <f>Depreciacion!$E$12</f>
        <v>1710.7980000000002</v>
      </c>
      <c r="G21" s="109">
        <f>Depreciacion!$E$12</f>
        <v>1710.7980000000002</v>
      </c>
      <c r="H21" s="109">
        <f>Depreciacion!$E$12</f>
        <v>1710.7980000000002</v>
      </c>
      <c r="I21" s="109">
        <f>Depreciacion!$E$12</f>
        <v>1710.7980000000002</v>
      </c>
      <c r="J21" s="109">
        <f>Depreciacion!$E$12</f>
        <v>1710.7980000000002</v>
      </c>
      <c r="K21" s="109">
        <f>Depreciacion!$E$12</f>
        <v>1710.7980000000002</v>
      </c>
      <c r="L21" s="278">
        <f>Depreciacion!$E$12</f>
        <v>1710.7980000000002</v>
      </c>
    </row>
    <row r="22" spans="1:12" ht="15">
      <c r="A22" s="103" t="s">
        <v>159</v>
      </c>
      <c r="B22" s="108"/>
      <c r="C22" s="109">
        <f>Depreciacion!$E$6</f>
        <v>432</v>
      </c>
      <c r="D22" s="109">
        <f>Depreciacion!$E$6</f>
        <v>432</v>
      </c>
      <c r="E22" s="109">
        <f>Depreciacion!$E$6</f>
        <v>432</v>
      </c>
      <c r="F22" s="109">
        <f>Depreciacion!$E$6</f>
        <v>432</v>
      </c>
      <c r="G22" s="109">
        <f>Depreciacion!$E$6</f>
        <v>432</v>
      </c>
      <c r="H22" s="109">
        <f>Depreciacion!$E$6</f>
        <v>432</v>
      </c>
      <c r="I22" s="109">
        <f>Depreciacion!$E$6</f>
        <v>432</v>
      </c>
      <c r="J22" s="109">
        <f>Depreciacion!$E$6</f>
        <v>432</v>
      </c>
      <c r="K22" s="109">
        <f>Depreciacion!$E$6</f>
        <v>432</v>
      </c>
      <c r="L22" s="278">
        <f>Depreciacion!$E$6</f>
        <v>432</v>
      </c>
    </row>
    <row r="23" spans="1:12" ht="15">
      <c r="A23" s="103" t="s">
        <v>160</v>
      </c>
      <c r="B23" s="108"/>
      <c r="C23" s="109">
        <f>Depreciacion!$E$7</f>
        <v>42.03</v>
      </c>
      <c r="D23" s="109">
        <f>Depreciacion!$E$7</f>
        <v>42.03</v>
      </c>
      <c r="E23" s="109">
        <f>Depreciacion!$E$7</f>
        <v>42.03</v>
      </c>
      <c r="F23" s="109">
        <f>Depreciacion!$E$7</f>
        <v>42.03</v>
      </c>
      <c r="G23" s="109">
        <f>Depreciacion!$E$7</f>
        <v>42.03</v>
      </c>
      <c r="H23" s="109">
        <f>Depreciacion!$E$7</f>
        <v>42.03</v>
      </c>
      <c r="I23" s="109">
        <f>Depreciacion!$E$7</f>
        <v>42.03</v>
      </c>
      <c r="J23" s="109">
        <f>Depreciacion!$E$7</f>
        <v>42.03</v>
      </c>
      <c r="K23" s="109">
        <f>Depreciacion!$E$7</f>
        <v>42.03</v>
      </c>
      <c r="L23" s="278">
        <f>Depreciacion!$E$7</f>
        <v>42.03</v>
      </c>
    </row>
    <row r="24" spans="1:12" ht="15">
      <c r="A24" s="103" t="s">
        <v>135</v>
      </c>
      <c r="B24" s="108"/>
      <c r="C24" s="109">
        <f>Depreciacion!$E$4</f>
        <v>63</v>
      </c>
      <c r="D24" s="109">
        <f>Depreciacion!$E$4</f>
        <v>63</v>
      </c>
      <c r="E24" s="109">
        <f>Depreciacion!$E$4</f>
        <v>63</v>
      </c>
      <c r="F24" s="109">
        <f>Depreciacion!$E$4</f>
        <v>63</v>
      </c>
      <c r="G24" s="109">
        <f>Depreciacion!$E$4</f>
        <v>63</v>
      </c>
      <c r="H24" s="109">
        <f>Depreciacion!$E$4</f>
        <v>63</v>
      </c>
      <c r="I24" s="109">
        <f>Depreciacion!$E$4</f>
        <v>63</v>
      </c>
      <c r="J24" s="109">
        <f>Depreciacion!$E$4</f>
        <v>63</v>
      </c>
      <c r="K24" s="109">
        <f>Depreciacion!$E$4</f>
        <v>63</v>
      </c>
      <c r="L24" s="278">
        <f>Depreciacion!$E$4</f>
        <v>63</v>
      </c>
    </row>
    <row r="25" spans="1:12" ht="15">
      <c r="A25" s="110" t="s">
        <v>165</v>
      </c>
      <c r="B25" s="108"/>
      <c r="C25" s="109">
        <f>Financiamiento!C9</f>
        <v>1499.5085571707637</v>
      </c>
      <c r="D25" s="109">
        <f>Financiamiento!D9</f>
        <v>1410.6957131719605</v>
      </c>
      <c r="E25" s="109">
        <f>Financiamiento!E9</f>
        <v>1311.9358306452916</v>
      </c>
      <c r="F25" s="109">
        <f>Financiamiento!F9</f>
        <v>1202.1148412756356</v>
      </c>
      <c r="G25" s="109">
        <f>Financiamiento!G9</f>
        <v>1079.9939010965786</v>
      </c>
      <c r="H25" s="109">
        <f>Financiamiento!H9</f>
        <v>944.1954156174664</v>
      </c>
      <c r="I25" s="109">
        <f>Financiamiento!I9</f>
        <v>793.1874997646939</v>
      </c>
      <c r="J25" s="109">
        <f>Financiamiento!J9</f>
        <v>625.2666973364105</v>
      </c>
      <c r="K25" s="109">
        <f>Financiamiento!K9</f>
        <v>438.53876503616044</v>
      </c>
      <c r="L25" s="278">
        <f>Financiamiento!L9</f>
        <v>230.89730431828136</v>
      </c>
    </row>
    <row r="26" spans="1:12" ht="15">
      <c r="A26" s="111" t="s">
        <v>136</v>
      </c>
      <c r="B26" s="108"/>
      <c r="C26" s="176">
        <f>C10-C11-C12-C13-C14-C15-C16-C17-C18-C19-C20-C21-C22-C23-C24-C25</f>
        <v>438.1195299292374</v>
      </c>
      <c r="D26" s="176">
        <f aca="true" t="shared" si="1" ref="D26:K26">D10-D11-D12-D13-D14-D15-D16-D17-D18-D19-D20-D21-D22-D23-D24-D25</f>
        <v>517.2827239280412</v>
      </c>
      <c r="E26" s="176">
        <f t="shared" si="1"/>
        <v>606.2932948047091</v>
      </c>
      <c r="F26" s="176">
        <f t="shared" si="1"/>
        <v>706.2643790379382</v>
      </c>
      <c r="G26" s="176">
        <f t="shared" si="1"/>
        <v>818.4338800450421</v>
      </c>
      <c r="H26" s="176">
        <f t="shared" si="1"/>
        <v>944.1784429734452</v>
      </c>
      <c r="I26" s="176">
        <f t="shared" si="1"/>
        <v>1085.0289946771563</v>
      </c>
      <c r="J26" s="176">
        <f t="shared" si="1"/>
        <v>1242.6880241790886</v>
      </c>
      <c r="K26" s="176">
        <f t="shared" si="1"/>
        <v>1419.0487985536217</v>
      </c>
      <c r="L26" s="279">
        <f>L10-L11-L12-L13-L14-L15-L16-L17-L18-L19-L20-L21-L22-L23-L24-L25</f>
        <v>1616.2167309966824</v>
      </c>
    </row>
    <row r="27" spans="1:12" ht="15">
      <c r="A27" s="103" t="s">
        <v>137</v>
      </c>
      <c r="B27" s="108"/>
      <c r="C27" s="109">
        <f>C26*0.15</f>
        <v>65.71792948938561</v>
      </c>
      <c r="D27" s="109">
        <f aca="true" t="shared" si="2" ref="D27:L27">D26*0.15</f>
        <v>77.59240858920617</v>
      </c>
      <c r="E27" s="109">
        <f t="shared" si="2"/>
        <v>90.94399422070637</v>
      </c>
      <c r="F27" s="109">
        <f t="shared" si="2"/>
        <v>105.93965685569073</v>
      </c>
      <c r="G27" s="109">
        <f t="shared" si="2"/>
        <v>122.7650820067563</v>
      </c>
      <c r="H27" s="109">
        <f t="shared" si="2"/>
        <v>141.62676644601677</v>
      </c>
      <c r="I27" s="109">
        <f t="shared" si="2"/>
        <v>162.75434920157343</v>
      </c>
      <c r="J27" s="109">
        <f t="shared" si="2"/>
        <v>186.4032036268633</v>
      </c>
      <c r="K27" s="109">
        <f t="shared" si="2"/>
        <v>212.85731978304327</v>
      </c>
      <c r="L27" s="278">
        <f t="shared" si="2"/>
        <v>242.43250964950235</v>
      </c>
    </row>
    <row r="28" spans="1:12" ht="15">
      <c r="A28" s="111" t="s">
        <v>138</v>
      </c>
      <c r="B28" s="108"/>
      <c r="C28" s="109">
        <f>C26-C27</f>
        <v>372.4016004398518</v>
      </c>
      <c r="D28" s="109">
        <f aca="true" t="shared" si="3" ref="D28:L28">D26-D27</f>
        <v>439.690315338835</v>
      </c>
      <c r="E28" s="109">
        <f t="shared" si="3"/>
        <v>515.3493005840028</v>
      </c>
      <c r="F28" s="109">
        <f t="shared" si="3"/>
        <v>600.3247221822475</v>
      </c>
      <c r="G28" s="109">
        <f t="shared" si="3"/>
        <v>695.6687980382858</v>
      </c>
      <c r="H28" s="109">
        <f t="shared" si="3"/>
        <v>802.5516765274284</v>
      </c>
      <c r="I28" s="109">
        <f t="shared" si="3"/>
        <v>922.2746454755829</v>
      </c>
      <c r="J28" s="109">
        <f t="shared" si="3"/>
        <v>1056.2848205522253</v>
      </c>
      <c r="K28" s="109">
        <f t="shared" si="3"/>
        <v>1206.1914787705784</v>
      </c>
      <c r="L28" s="278">
        <f t="shared" si="3"/>
        <v>1373.78422134718</v>
      </c>
    </row>
    <row r="29" spans="1:12" ht="15">
      <c r="A29" s="103" t="s">
        <v>139</v>
      </c>
      <c r="B29" s="108"/>
      <c r="C29" s="109">
        <f>C28*0.25</f>
        <v>93.10040010996295</v>
      </c>
      <c r="D29" s="109">
        <f aca="true" t="shared" si="4" ref="D29:L29">D28*0.25</f>
        <v>109.92257883470874</v>
      </c>
      <c r="E29" s="109">
        <f t="shared" si="4"/>
        <v>128.8373251460007</v>
      </c>
      <c r="F29" s="109">
        <f t="shared" si="4"/>
        <v>150.08118054556186</v>
      </c>
      <c r="G29" s="109">
        <f t="shared" si="4"/>
        <v>173.91719950957145</v>
      </c>
      <c r="H29" s="109">
        <f t="shared" si="4"/>
        <v>200.6379191318571</v>
      </c>
      <c r="I29" s="109">
        <f t="shared" si="4"/>
        <v>230.56866136889573</v>
      </c>
      <c r="J29" s="109">
        <f t="shared" si="4"/>
        <v>264.0712051380563</v>
      </c>
      <c r="K29" s="109">
        <f t="shared" si="4"/>
        <v>301.5478696926446</v>
      </c>
      <c r="L29" s="278">
        <f t="shared" si="4"/>
        <v>343.446055336795</v>
      </c>
    </row>
    <row r="30" spans="1:12" ht="15">
      <c r="A30" s="111" t="s">
        <v>166</v>
      </c>
      <c r="B30" s="108"/>
      <c r="C30" s="109">
        <f>C28-C29</f>
        <v>279.30120032988884</v>
      </c>
      <c r="D30" s="109">
        <f aca="true" t="shared" si="5" ref="D30:L30">D28-D29</f>
        <v>329.7677365041262</v>
      </c>
      <c r="E30" s="109">
        <f t="shared" si="5"/>
        <v>386.5119754380021</v>
      </c>
      <c r="F30" s="109">
        <f t="shared" si="5"/>
        <v>450.24354163668556</v>
      </c>
      <c r="G30" s="109">
        <f t="shared" si="5"/>
        <v>521.7515985287143</v>
      </c>
      <c r="H30" s="109">
        <f t="shared" si="5"/>
        <v>601.9137573955713</v>
      </c>
      <c r="I30" s="109">
        <f t="shared" si="5"/>
        <v>691.7059841066872</v>
      </c>
      <c r="J30" s="109">
        <f t="shared" si="5"/>
        <v>792.213615414169</v>
      </c>
      <c r="K30" s="109">
        <f t="shared" si="5"/>
        <v>904.6436090779339</v>
      </c>
      <c r="L30" s="278">
        <f t="shared" si="5"/>
        <v>1030.338166010385</v>
      </c>
    </row>
    <row r="31" spans="1:12" ht="15">
      <c r="A31" s="112" t="s">
        <v>140</v>
      </c>
      <c r="B31" s="106">
        <f>'Inversion Total'!G28+'Inversion Total'!G27</f>
        <v>12811.849999999999</v>
      </c>
      <c r="C31" s="113"/>
      <c r="D31" s="113"/>
      <c r="E31" s="113"/>
      <c r="F31" s="113"/>
      <c r="G31" s="113"/>
      <c r="H31" s="113"/>
      <c r="I31" s="113"/>
      <c r="J31" s="113"/>
      <c r="K31" s="113"/>
      <c r="L31" s="280"/>
    </row>
    <row r="32" spans="1:12" ht="15">
      <c r="A32" s="103" t="s">
        <v>141</v>
      </c>
      <c r="B32" s="106">
        <f>'Inversion Total'!G29</f>
        <v>3923.7365755665596</v>
      </c>
      <c r="C32" s="113"/>
      <c r="D32" s="113"/>
      <c r="E32" s="113"/>
      <c r="F32" s="113"/>
      <c r="G32" s="113"/>
      <c r="H32" s="113"/>
      <c r="I32" s="113"/>
      <c r="J32" s="113"/>
      <c r="K32" s="113"/>
      <c r="L32" s="280"/>
    </row>
    <row r="33" spans="1:12" ht="15">
      <c r="A33" s="103" t="s">
        <v>142</v>
      </c>
      <c r="B33" s="106">
        <f>Financiamiento!B10</f>
        <v>13388.469260453247</v>
      </c>
      <c r="C33" s="113"/>
      <c r="D33" s="113"/>
      <c r="E33" s="113"/>
      <c r="F33" s="113"/>
      <c r="G33" s="113"/>
      <c r="H33" s="114"/>
      <c r="I33" s="114"/>
      <c r="J33" s="114"/>
      <c r="K33" s="114"/>
      <c r="L33" s="115"/>
    </row>
    <row r="34" spans="1:12" ht="26.25">
      <c r="A34" s="103" t="s">
        <v>161</v>
      </c>
      <c r="B34" s="108"/>
      <c r="C34" s="109">
        <f>Depreciacion!$E$12</f>
        <v>1710.7980000000002</v>
      </c>
      <c r="D34" s="109">
        <f>Depreciacion!$E$12</f>
        <v>1710.7980000000002</v>
      </c>
      <c r="E34" s="109">
        <f>Depreciacion!$E$12</f>
        <v>1710.7980000000002</v>
      </c>
      <c r="F34" s="109">
        <f>Depreciacion!$E$12</f>
        <v>1710.7980000000002</v>
      </c>
      <c r="G34" s="109">
        <f>Depreciacion!$E$12</f>
        <v>1710.7980000000002</v>
      </c>
      <c r="H34" s="109">
        <f>Depreciacion!$E$12</f>
        <v>1710.7980000000002</v>
      </c>
      <c r="I34" s="109">
        <f>Depreciacion!$E$12</f>
        <v>1710.7980000000002</v>
      </c>
      <c r="J34" s="109">
        <f>Depreciacion!$E$12</f>
        <v>1710.7980000000002</v>
      </c>
      <c r="K34" s="109">
        <f>Depreciacion!$E$12</f>
        <v>1710.7980000000002</v>
      </c>
      <c r="L34" s="278">
        <f>Depreciacion!$E$12</f>
        <v>1710.7980000000002</v>
      </c>
    </row>
    <row r="35" spans="1:12" ht="15">
      <c r="A35" s="103" t="s">
        <v>162</v>
      </c>
      <c r="B35" s="108"/>
      <c r="C35" s="109">
        <f>Depreciacion!$E$6</f>
        <v>432</v>
      </c>
      <c r="D35" s="109">
        <f>Depreciacion!$E$6</f>
        <v>432</v>
      </c>
      <c r="E35" s="109">
        <f>Depreciacion!$E$6</f>
        <v>432</v>
      </c>
      <c r="F35" s="109">
        <f>Depreciacion!$E$6</f>
        <v>432</v>
      </c>
      <c r="G35" s="109">
        <f>Depreciacion!$E$6</f>
        <v>432</v>
      </c>
      <c r="H35" s="109">
        <f>Depreciacion!$E$6</f>
        <v>432</v>
      </c>
      <c r="I35" s="109">
        <f>Depreciacion!$E$6</f>
        <v>432</v>
      </c>
      <c r="J35" s="109">
        <f>Depreciacion!$E$6</f>
        <v>432</v>
      </c>
      <c r="K35" s="109">
        <f>Depreciacion!$E$6</f>
        <v>432</v>
      </c>
      <c r="L35" s="278">
        <f>Depreciacion!$E$6</f>
        <v>432</v>
      </c>
    </row>
    <row r="36" spans="1:12" ht="15">
      <c r="A36" s="103" t="s">
        <v>163</v>
      </c>
      <c r="B36" s="108"/>
      <c r="C36" s="109">
        <f>Depreciacion!$E$7</f>
        <v>42.03</v>
      </c>
      <c r="D36" s="109">
        <f>Depreciacion!$E$7</f>
        <v>42.03</v>
      </c>
      <c r="E36" s="109">
        <f>Depreciacion!$E$7</f>
        <v>42.03</v>
      </c>
      <c r="F36" s="109">
        <f>Depreciacion!$E$7</f>
        <v>42.03</v>
      </c>
      <c r="G36" s="109">
        <f>Depreciacion!$E$7</f>
        <v>42.03</v>
      </c>
      <c r="H36" s="109">
        <f>Depreciacion!$E$7</f>
        <v>42.03</v>
      </c>
      <c r="I36" s="109">
        <f>Depreciacion!$E$7</f>
        <v>42.03</v>
      </c>
      <c r="J36" s="109">
        <f>Depreciacion!$E$7</f>
        <v>42.03</v>
      </c>
      <c r="K36" s="109">
        <f>Depreciacion!$E$7</f>
        <v>42.03</v>
      </c>
      <c r="L36" s="278">
        <f>Depreciacion!$E$7</f>
        <v>42.03</v>
      </c>
    </row>
    <row r="37" spans="1:12" ht="15">
      <c r="A37" s="103" t="s">
        <v>164</v>
      </c>
      <c r="B37" s="108"/>
      <c r="C37" s="109">
        <f>Depreciacion!$E$4</f>
        <v>63</v>
      </c>
      <c r="D37" s="109">
        <f>Depreciacion!$E$4</f>
        <v>63</v>
      </c>
      <c r="E37" s="109">
        <f>Depreciacion!$E$4</f>
        <v>63</v>
      </c>
      <c r="F37" s="109">
        <f>Depreciacion!$E$4</f>
        <v>63</v>
      </c>
      <c r="G37" s="109">
        <f>Depreciacion!$E$4</f>
        <v>63</v>
      </c>
      <c r="H37" s="109">
        <f>Depreciacion!$E$4</f>
        <v>63</v>
      </c>
      <c r="I37" s="109">
        <f>Depreciacion!$E$4</f>
        <v>63</v>
      </c>
      <c r="J37" s="109">
        <f>Depreciacion!$E$4</f>
        <v>63</v>
      </c>
      <c r="K37" s="109">
        <f>Depreciacion!$E$4</f>
        <v>63</v>
      </c>
      <c r="L37" s="278">
        <f>Depreciacion!$E$4</f>
        <v>63</v>
      </c>
    </row>
    <row r="38" spans="1:12" ht="15">
      <c r="A38" s="103" t="s">
        <v>143</v>
      </c>
      <c r="B38" s="108"/>
      <c r="C38" s="109">
        <f>Financiamiento!C8:G8</f>
        <v>792.9718214178833</v>
      </c>
      <c r="D38" s="109">
        <f>Financiamiento!D8:H8</f>
        <v>881.7846654166865</v>
      </c>
      <c r="E38" s="109">
        <f>Financiamiento!E8:I8</f>
        <v>980.5445479433554</v>
      </c>
      <c r="F38" s="109">
        <f>Financiamiento!F8:J8</f>
        <v>1090.3655373130114</v>
      </c>
      <c r="G38" s="109">
        <f>Financiamiento!G8:K8</f>
        <v>1212.4864774920684</v>
      </c>
      <c r="H38" s="109">
        <f>Financiamiento!H8:L8</f>
        <v>1348.2849629711804</v>
      </c>
      <c r="I38" s="109">
        <f>Financiamiento!I8:M8</f>
        <v>1499.292878823953</v>
      </c>
      <c r="J38" s="109">
        <f>Financiamiento!J8:N8</f>
        <v>1667.2136812522365</v>
      </c>
      <c r="K38" s="109">
        <f>Financiamiento!K8:O8</f>
        <v>1853.9416135524866</v>
      </c>
      <c r="L38" s="278">
        <f>Financiamiento!L8:P8</f>
        <v>2061.5830742703656</v>
      </c>
    </row>
    <row r="39" spans="1:12" ht="15">
      <c r="A39" s="103" t="s">
        <v>144</v>
      </c>
      <c r="B39" s="108"/>
      <c r="C39" s="109"/>
      <c r="D39" s="109"/>
      <c r="E39" s="109"/>
      <c r="F39" s="109"/>
      <c r="G39" s="109"/>
      <c r="H39" s="116"/>
      <c r="I39" s="116"/>
      <c r="J39" s="116"/>
      <c r="K39" s="116"/>
      <c r="L39" s="117"/>
    </row>
    <row r="40" spans="1:12" ht="15">
      <c r="A40" s="103" t="s">
        <v>145</v>
      </c>
      <c r="B40" s="108"/>
      <c r="C40" s="109"/>
      <c r="D40" s="109"/>
      <c r="E40" s="109"/>
      <c r="F40" s="109"/>
      <c r="G40" s="109"/>
      <c r="H40" s="116"/>
      <c r="I40" s="116"/>
      <c r="J40" s="116"/>
      <c r="K40" s="116"/>
      <c r="L40" s="117"/>
    </row>
    <row r="41" spans="1:12" ht="15.75" thickBot="1">
      <c r="A41" s="103" t="s">
        <v>146</v>
      </c>
      <c r="B41" s="108"/>
      <c r="C41" s="109"/>
      <c r="D41" s="109"/>
      <c r="E41" s="109"/>
      <c r="F41" s="109"/>
      <c r="G41" s="109"/>
      <c r="H41" s="116"/>
      <c r="I41" s="116"/>
      <c r="J41" s="116"/>
      <c r="K41" s="116"/>
      <c r="L41" s="117"/>
    </row>
    <row r="42" spans="1:12" ht="15.75" thickBot="1">
      <c r="A42" s="118" t="s">
        <v>130</v>
      </c>
      <c r="B42" s="119">
        <f>B33-B32-B31</f>
        <v>-3347.1173151133116</v>
      </c>
      <c r="C42" s="119">
        <f>C30+C34+C35+C36+C37-C38</f>
        <v>1734.1573789120057</v>
      </c>
      <c r="D42" s="119">
        <f aca="true" t="shared" si="6" ref="D42:L42">D30+D34+D35+D36+D37-D38</f>
        <v>1695.8110710874403</v>
      </c>
      <c r="E42" s="119">
        <f t="shared" si="6"/>
        <v>1653.7954274946471</v>
      </c>
      <c r="F42" s="119">
        <f t="shared" si="6"/>
        <v>1607.7060043236747</v>
      </c>
      <c r="G42" s="119">
        <f t="shared" si="6"/>
        <v>1557.0931210366462</v>
      </c>
      <c r="H42" s="119">
        <f t="shared" si="6"/>
        <v>1501.4567944243913</v>
      </c>
      <c r="I42" s="119">
        <f>I30+I34+I35+I36+I37-I38</f>
        <v>1440.2411052827345</v>
      </c>
      <c r="J42" s="119">
        <f t="shared" si="6"/>
        <v>1372.827934161933</v>
      </c>
      <c r="K42" s="119">
        <f t="shared" si="6"/>
        <v>1298.5299955254477</v>
      </c>
      <c r="L42" s="281">
        <f t="shared" si="6"/>
        <v>1216.5830917400199</v>
      </c>
    </row>
    <row r="44" spans="1:4" ht="15">
      <c r="A44" s="146" t="s">
        <v>196</v>
      </c>
      <c r="C44" s="28">
        <f>CAPM!C12</f>
        <v>0.37819800000000003</v>
      </c>
      <c r="D44" s="47"/>
    </row>
    <row r="45" spans="1:4" ht="15">
      <c r="A45" s="147" t="s">
        <v>167</v>
      </c>
      <c r="C45" s="45">
        <f>NPV(C44,C42:L42)+B42</f>
        <v>793.1374824122249</v>
      </c>
      <c r="D45" s="47"/>
    </row>
    <row r="46" spans="1:4" ht="15">
      <c r="A46" s="147" t="s">
        <v>168</v>
      </c>
      <c r="C46" s="5">
        <f>IRR(B42:L42)</f>
        <v>0.4833270452385112</v>
      </c>
      <c r="D46" s="47"/>
    </row>
    <row r="47" spans="1:4" ht="15">
      <c r="A47" s="148"/>
      <c r="D47" s="47"/>
    </row>
    <row r="48" spans="1:8" ht="15">
      <c r="A48" s="148" t="s">
        <v>194</v>
      </c>
      <c r="B48" s="145">
        <f>-PV($C$44,B9,,B42)</f>
        <v>-3347.1173151133116</v>
      </c>
      <c r="C48" s="145">
        <f aca="true" t="shared" si="7" ref="C48:H48">-PV($C$44,C9,,C42)</f>
        <v>1258.278838680658</v>
      </c>
      <c r="D48" s="145">
        <f t="shared" si="7"/>
        <v>892.8001108962895</v>
      </c>
      <c r="E48" s="145">
        <f t="shared" si="7"/>
        <v>631.7524586828678</v>
      </c>
      <c r="F48" s="145">
        <f t="shared" si="7"/>
        <v>445.6153806800918</v>
      </c>
      <c r="G48" s="145">
        <f t="shared" si="7"/>
        <v>313.152951516255</v>
      </c>
      <c r="H48" s="145">
        <f t="shared" si="7"/>
        <v>219.10038842859447</v>
      </c>
    </row>
    <row r="49" spans="1:9" ht="15">
      <c r="A49" s="148" t="s">
        <v>195</v>
      </c>
      <c r="C49" s="145">
        <f>B48+C48</f>
        <v>-2088.838476432654</v>
      </c>
      <c r="D49" s="145">
        <f>C49+D48</f>
        <v>-1196.0383655363644</v>
      </c>
      <c r="E49" s="145">
        <f>D49+E48</f>
        <v>-564.2859068534966</v>
      </c>
      <c r="F49" s="145">
        <f>E49+F48</f>
        <v>-118.67052617340482</v>
      </c>
      <c r="G49" s="145">
        <f>F49+G48</f>
        <v>194.48242534285015</v>
      </c>
      <c r="H49" s="145">
        <f>G49+H48</f>
        <v>413.58281377144465</v>
      </c>
      <c r="I49" s="145"/>
    </row>
    <row r="50" ht="15">
      <c r="A50" s="148"/>
    </row>
    <row r="51" spans="1:3" ht="15">
      <c r="A51" s="148" t="s">
        <v>197</v>
      </c>
      <c r="B51" s="20">
        <f>5-(F49/G48)</f>
        <v>5.378953880520092</v>
      </c>
      <c r="C51" t="s">
        <v>198</v>
      </c>
    </row>
  </sheetData>
  <sheetProtection/>
  <mergeCells count="2">
    <mergeCell ref="A7:L8"/>
    <mergeCell ref="A1:C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N28"/>
  <sheetViews>
    <sheetView zoomScalePageLayoutView="0" workbookViewId="0" topLeftCell="D1">
      <selection activeCell="K4" sqref="K4:N11"/>
    </sheetView>
  </sheetViews>
  <sheetFormatPr defaultColWidth="11.421875" defaultRowHeight="15"/>
  <cols>
    <col min="1" max="1" width="11.421875" style="152" customWidth="1"/>
    <col min="2" max="2" width="11.421875" style="246" customWidth="1"/>
    <col min="3" max="3" width="14.7109375" style="152" customWidth="1"/>
    <col min="4" max="7" width="11.421875" style="152" customWidth="1"/>
    <col min="8" max="8" width="13.7109375" style="152" customWidth="1"/>
    <col min="9" max="11" width="11.421875" style="152" customWidth="1"/>
    <col min="12" max="12" width="15.57421875" style="152" customWidth="1"/>
    <col min="13" max="13" width="13.140625" style="152" customWidth="1"/>
    <col min="14" max="16384" width="11.421875" style="152" customWidth="1"/>
  </cols>
  <sheetData>
    <row r="3" ht="13.5" thickBot="1">
      <c r="A3" s="246"/>
    </row>
    <row r="4" spans="1:14" ht="15.75" thickBot="1">
      <c r="A4" s="169"/>
      <c r="B4" s="247" t="s">
        <v>199</v>
      </c>
      <c r="C4" s="56" t="s">
        <v>167</v>
      </c>
      <c r="D4" s="56" t="s">
        <v>168</v>
      </c>
      <c r="E4"/>
      <c r="F4"/>
      <c r="G4" s="56" t="s">
        <v>41</v>
      </c>
      <c r="H4" s="56" t="s">
        <v>167</v>
      </c>
      <c r="I4" s="56" t="s">
        <v>168</v>
      </c>
      <c r="J4"/>
      <c r="K4"/>
      <c r="L4" s="56" t="s">
        <v>200</v>
      </c>
      <c r="M4" s="56" t="s">
        <v>167</v>
      </c>
      <c r="N4" s="56" t="s">
        <v>168</v>
      </c>
    </row>
    <row r="5" spans="1:14" ht="15">
      <c r="A5" s="249">
        <v>0.15</v>
      </c>
      <c r="B5" s="266">
        <f>56*(1+$A$5)</f>
        <v>64.39999999999999</v>
      </c>
      <c r="C5" s="274">
        <v>2546.8417071666</v>
      </c>
      <c r="D5" s="275">
        <v>0.7032943903952246</v>
      </c>
      <c r="E5"/>
      <c r="F5" s="5">
        <v>0.15</v>
      </c>
      <c r="G5" s="262">
        <f>129*(1+$F$5)</f>
        <v>148.35</v>
      </c>
      <c r="H5" s="263">
        <v>1814.2616677879141</v>
      </c>
      <c r="I5" s="264">
        <v>0.61</v>
      </c>
      <c r="J5"/>
      <c r="K5" s="5">
        <v>0.15</v>
      </c>
      <c r="L5" s="226">
        <f>$L$8*(1+K5)</f>
        <v>18050.399999999998</v>
      </c>
      <c r="M5" s="225">
        <v>-3014.9795074846134</v>
      </c>
      <c r="N5" s="156" t="e">
        <v>#NUM!</v>
      </c>
    </row>
    <row r="6" spans="1:14" ht="15">
      <c r="A6" s="253"/>
      <c r="B6" s="250">
        <f>67.2*(1+$A$5)</f>
        <v>77.28</v>
      </c>
      <c r="C6" s="251">
        <v>2897.582552117472</v>
      </c>
      <c r="D6" s="252">
        <v>0.7462102720617954</v>
      </c>
      <c r="E6" s="45"/>
      <c r="F6"/>
      <c r="G6" s="269">
        <f>129*(1+$F$5)</f>
        <v>148.35</v>
      </c>
      <c r="H6" s="270">
        <v>2888.0259602523465</v>
      </c>
      <c r="I6" s="271">
        <v>0.75</v>
      </c>
      <c r="J6"/>
      <c r="K6" s="5">
        <v>0.1</v>
      </c>
      <c r="L6" s="226">
        <f>$L$8*(1+K6)</f>
        <v>17265.600000000002</v>
      </c>
      <c r="M6" s="225">
        <v>-1745.6071775189964</v>
      </c>
      <c r="N6" s="156">
        <v>0.1</v>
      </c>
    </row>
    <row r="7" spans="1:14" ht="15">
      <c r="A7" s="253"/>
      <c r="B7" s="248">
        <f>78.4*(1+$A$5)</f>
        <v>90.16</v>
      </c>
      <c r="C7" s="255">
        <v>4066.7187019537123</v>
      </c>
      <c r="D7" s="254">
        <v>0.89</v>
      </c>
      <c r="E7" s="45"/>
      <c r="F7"/>
      <c r="G7" s="248">
        <f>172*(1+$F$5)</f>
        <v>197.79999999999998</v>
      </c>
      <c r="H7" s="151">
        <v>4051.852892385732</v>
      </c>
      <c r="I7" s="156">
        <v>0.89</v>
      </c>
      <c r="J7"/>
      <c r="K7" s="5">
        <v>0.05</v>
      </c>
      <c r="L7" s="226">
        <f>$L$8*(1+K7)</f>
        <v>16480.8</v>
      </c>
      <c r="M7" s="225">
        <v>-476.2348475533863</v>
      </c>
      <c r="N7" s="156">
        <v>0.31</v>
      </c>
    </row>
    <row r="8" spans="1:14" ht="15">
      <c r="A8" s="249">
        <v>0.1</v>
      </c>
      <c r="B8" s="266">
        <f>56*(1+$A$8)</f>
        <v>61.60000000000001</v>
      </c>
      <c r="C8" s="274">
        <v>1962.2736322484734</v>
      </c>
      <c r="D8" s="275">
        <v>0.631159306353185</v>
      </c>
      <c r="E8" s="45"/>
      <c r="F8" s="5">
        <v>0.1</v>
      </c>
      <c r="G8" s="262">
        <f>129*(1+$F$8)</f>
        <v>141.9</v>
      </c>
      <c r="H8" s="263">
        <v>1954.6560590226472</v>
      </c>
      <c r="I8" s="264">
        <v>0.63</v>
      </c>
      <c r="J8"/>
      <c r="K8"/>
      <c r="L8" s="167">
        <v>15696</v>
      </c>
      <c r="M8" s="157">
        <v>793.1374824122249</v>
      </c>
      <c r="N8" s="158">
        <v>0.4833270452385112</v>
      </c>
    </row>
    <row r="9" spans="1:14" ht="15">
      <c r="A9" s="253"/>
      <c r="B9" s="250">
        <f>67.2*(1+$A$8)</f>
        <v>73.92000000000002</v>
      </c>
      <c r="C9" s="251">
        <v>2196.100862215726</v>
      </c>
      <c r="D9" s="252">
        <v>0.66</v>
      </c>
      <c r="E9" s="45"/>
      <c r="F9"/>
      <c r="G9" s="269">
        <f>129*(1+$F$8)</f>
        <v>141.9</v>
      </c>
      <c r="H9" s="270">
        <v>2186.9597743447284</v>
      </c>
      <c r="I9" s="271">
        <v>0.66</v>
      </c>
      <c r="J9"/>
      <c r="K9" s="5">
        <v>-0.05</v>
      </c>
      <c r="L9" s="226">
        <f>$L$8*(1+K9)</f>
        <v>14911.199999999999</v>
      </c>
      <c r="M9" s="151">
        <v>2062.5098123778344</v>
      </c>
      <c r="N9" s="156">
        <v>0.64</v>
      </c>
    </row>
    <row r="10" spans="1:14" ht="15">
      <c r="A10" s="253"/>
      <c r="B10" s="248">
        <f>78.4*(1+$A$8)</f>
        <v>86.24000000000001</v>
      </c>
      <c r="C10" s="255">
        <v>2975.5249621065495</v>
      </c>
      <c r="D10" s="254">
        <v>0.76</v>
      </c>
      <c r="E10" s="45"/>
      <c r="F10"/>
      <c r="G10" s="248">
        <f>172*(1+$F$8)</f>
        <v>189.20000000000002</v>
      </c>
      <c r="H10" s="151">
        <v>2961.305492085008</v>
      </c>
      <c r="I10" s="156">
        <v>0.75</v>
      </c>
      <c r="J10"/>
      <c r="K10" s="5">
        <v>-0.1</v>
      </c>
      <c r="L10" s="226">
        <f>$L$8*(1+K10)</f>
        <v>14126.4</v>
      </c>
      <c r="M10" s="151">
        <v>3331.8821423434474</v>
      </c>
      <c r="N10" s="156">
        <v>0.8</v>
      </c>
    </row>
    <row r="11" spans="1:14" ht="15.75" thickBot="1">
      <c r="A11" s="253">
        <v>0.05</v>
      </c>
      <c r="B11" s="266">
        <f>B14*(1+$A$11)</f>
        <v>58.800000000000004</v>
      </c>
      <c r="C11" s="274">
        <v>1377.7055573303478</v>
      </c>
      <c r="D11" s="275">
        <v>0.5579924195630003</v>
      </c>
      <c r="E11" s="45"/>
      <c r="F11" s="5">
        <v>0.05</v>
      </c>
      <c r="G11" s="262">
        <v>135.45</v>
      </c>
      <c r="H11" s="263">
        <v>1370.4342374329644</v>
      </c>
      <c r="I11" s="264">
        <v>0.56</v>
      </c>
      <c r="J11"/>
      <c r="K11" s="5">
        <v>-0.15</v>
      </c>
      <c r="L11" s="226">
        <f>$L$8*(1+K11)</f>
        <v>13341.6</v>
      </c>
      <c r="M11" s="159">
        <v>4601.254472309058</v>
      </c>
      <c r="N11" s="160">
        <v>0.95</v>
      </c>
    </row>
    <row r="12" spans="1:14" ht="15">
      <c r="A12" s="253"/>
      <c r="B12" s="250">
        <f>B15*(1+$A$11)</f>
        <v>70.56</v>
      </c>
      <c r="C12" s="251">
        <v>1494.619172313969</v>
      </c>
      <c r="D12" s="252">
        <v>0.57</v>
      </c>
      <c r="E12" s="45"/>
      <c r="F12"/>
      <c r="G12" s="269">
        <v>135.45</v>
      </c>
      <c r="H12" s="270">
        <v>1485.8935884371112</v>
      </c>
      <c r="I12" s="271">
        <v>0.57</v>
      </c>
      <c r="J12"/>
      <c r="K12" s="155"/>
      <c r="L12"/>
      <c r="M12"/>
      <c r="N12"/>
    </row>
    <row r="13" spans="1:14" ht="15.75" thickBot="1">
      <c r="A13" s="153"/>
      <c r="B13" s="248">
        <f>B16*(1+$A$11)</f>
        <v>82.32000000000001</v>
      </c>
      <c r="C13" s="255">
        <v>1884.3312222593804</v>
      </c>
      <c r="D13" s="254">
        <v>0.62</v>
      </c>
      <c r="E13" s="45"/>
      <c r="F13"/>
      <c r="G13" s="248">
        <v>180.6</v>
      </c>
      <c r="H13" s="165">
        <v>1870.7580917842733</v>
      </c>
      <c r="I13" s="166">
        <v>0.62</v>
      </c>
      <c r="J13"/>
      <c r="K13" s="155"/>
      <c r="L13"/>
      <c r="M13"/>
      <c r="N13"/>
    </row>
    <row r="14" spans="1:14" ht="15">
      <c r="A14"/>
      <c r="B14" s="265">
        <v>56</v>
      </c>
      <c r="C14" s="161"/>
      <c r="D14" s="162"/>
      <c r="E14"/>
      <c r="F14"/>
      <c r="G14" s="265">
        <v>129</v>
      </c>
      <c r="H14" s="161"/>
      <c r="I14" s="162"/>
      <c r="J14"/>
      <c r="K14" s="153"/>
      <c r="L14" s="48" t="s">
        <v>283</v>
      </c>
      <c r="M14" s="48"/>
      <c r="N14" s="48"/>
    </row>
    <row r="15" spans="1:14" ht="15">
      <c r="A15"/>
      <c r="B15" s="250">
        <v>67.2</v>
      </c>
      <c r="C15" s="157">
        <v>793.1374824122249</v>
      </c>
      <c r="D15" s="158">
        <v>0.4833270452385112</v>
      </c>
      <c r="E15"/>
      <c r="F15"/>
      <c r="G15" s="269">
        <v>129</v>
      </c>
      <c r="H15" s="157">
        <v>793.1374824122249</v>
      </c>
      <c r="I15" s="158">
        <v>0.4833270452385112</v>
      </c>
      <c r="J15"/>
      <c r="K15" s="153"/>
      <c r="L15">
        <v>17</v>
      </c>
      <c r="M15"/>
      <c r="N15"/>
    </row>
    <row r="16" spans="1:14" ht="15.75" thickBot="1">
      <c r="A16"/>
      <c r="B16" s="171">
        <v>78.4</v>
      </c>
      <c r="C16" s="163"/>
      <c r="D16" s="164"/>
      <c r="E16"/>
      <c r="F16"/>
      <c r="G16" s="171">
        <v>172</v>
      </c>
      <c r="H16" s="163"/>
      <c r="I16" s="164"/>
      <c r="J16"/>
      <c r="K16" s="153"/>
      <c r="L16" s="283">
        <f>L15/42</f>
        <v>0.40476190476190477</v>
      </c>
      <c r="M16"/>
      <c r="N16"/>
    </row>
    <row r="17" spans="1:14" ht="15">
      <c r="A17" s="5">
        <v>-0.05</v>
      </c>
      <c r="B17" s="262">
        <f>B14*(1+$A$17)</f>
        <v>53.199999999999996</v>
      </c>
      <c r="C17" s="263">
        <v>208.56940749409932</v>
      </c>
      <c r="D17" s="264">
        <v>0.4064085113326738</v>
      </c>
      <c r="E17"/>
      <c r="F17" s="5">
        <v>-0.05</v>
      </c>
      <c r="G17" s="262">
        <f>G14*(1+$F$17)</f>
        <v>122.55</v>
      </c>
      <c r="H17" s="263">
        <v>201.99059425360883</v>
      </c>
      <c r="I17" s="264">
        <v>0.41</v>
      </c>
      <c r="J17"/>
      <c r="K17" s="153"/>
      <c r="L17" s="28">
        <f>100%-L16</f>
        <v>0.5952380952380952</v>
      </c>
      <c r="M17"/>
      <c r="N17"/>
    </row>
    <row r="18" spans="1:14" ht="15">
      <c r="A18"/>
      <c r="B18" s="250">
        <f>B15*(1+$A$17)</f>
        <v>63.839999999999996</v>
      </c>
      <c r="C18" s="251">
        <v>91.65579251047984</v>
      </c>
      <c r="D18" s="252">
        <v>0.39</v>
      </c>
      <c r="E18"/>
      <c r="F18"/>
      <c r="G18" s="269">
        <f>G15*(1+$F$17)</f>
        <v>122.55</v>
      </c>
      <c r="H18" s="270">
        <v>83.76121662189144</v>
      </c>
      <c r="I18" s="271">
        <v>0.39</v>
      </c>
      <c r="J18"/>
      <c r="K18" s="153"/>
      <c r="L18" s="48"/>
      <c r="M18" s="48"/>
      <c r="N18" s="48"/>
    </row>
    <row r="19" spans="1:14" ht="15">
      <c r="A19"/>
      <c r="B19" s="248">
        <f>B16*(1+$A$17)</f>
        <v>74.48</v>
      </c>
      <c r="C19" s="225">
        <v>-298.05625743494556</v>
      </c>
      <c r="D19" s="156">
        <v>0.34</v>
      </c>
      <c r="E19"/>
      <c r="F19"/>
      <c r="G19" s="248">
        <f>G16*(1+$F$17)</f>
        <v>163.4</v>
      </c>
      <c r="H19" s="225">
        <v>-310.3367088171872</v>
      </c>
      <c r="I19" s="156">
        <v>0.34</v>
      </c>
      <c r="J19"/>
      <c r="K19" s="153"/>
      <c r="L19" s="282">
        <f>3/6</f>
        <v>0.5</v>
      </c>
      <c r="M19"/>
      <c r="N19"/>
    </row>
    <row r="20" spans="1:14" ht="15">
      <c r="A20" s="5">
        <v>-0.1</v>
      </c>
      <c r="B20" s="262">
        <f>56*(1+$A$20)</f>
        <v>50.4</v>
      </c>
      <c r="C20" s="267">
        <v>-375.99866742402446</v>
      </c>
      <c r="D20" s="264">
        <v>0.32593866491254986</v>
      </c>
      <c r="E20"/>
      <c r="F20" s="5">
        <v>-0.1</v>
      </c>
      <c r="G20" s="266">
        <f>129*(1+$F$20)</f>
        <v>116.10000000000001</v>
      </c>
      <c r="H20" s="267">
        <v>-382.23122733606533</v>
      </c>
      <c r="I20" s="264">
        <v>0.33</v>
      </c>
      <c r="J20"/>
      <c r="K20" s="153"/>
      <c r="L20"/>
      <c r="M20"/>
      <c r="N20"/>
    </row>
    <row r="21" spans="1:14" ht="15">
      <c r="A21"/>
      <c r="B21" s="250">
        <f>67.2*(1+$A$20)</f>
        <v>60.480000000000004</v>
      </c>
      <c r="C21" s="268">
        <v>-609.8258973912771</v>
      </c>
      <c r="D21" s="252">
        <v>0.29</v>
      </c>
      <c r="E21"/>
      <c r="F21"/>
      <c r="G21" s="272">
        <f>129*(1+$F$20)</f>
        <v>116.10000000000001</v>
      </c>
      <c r="H21" s="273">
        <v>-617.3049692857257</v>
      </c>
      <c r="I21" s="271">
        <v>0.29</v>
      </c>
      <c r="J21"/>
      <c r="K21" s="153"/>
      <c r="L21"/>
      <c r="M21"/>
      <c r="N21"/>
    </row>
    <row r="22" spans="1:14" ht="15">
      <c r="A22"/>
      <c r="B22" s="248">
        <f>74.4*(1+$A$20)</f>
        <v>66.96000000000001</v>
      </c>
      <c r="C22" s="225">
        <v>-2391.3666971417515</v>
      </c>
      <c r="D22" s="227">
        <v>-0.07</v>
      </c>
      <c r="E22"/>
      <c r="F22"/>
      <c r="G22" s="248">
        <f>172*(1+$F$20)</f>
        <v>154.8</v>
      </c>
      <c r="H22" s="225">
        <v>-1400.8841091179156</v>
      </c>
      <c r="I22" s="156">
        <v>0.17</v>
      </c>
      <c r="J22"/>
      <c r="K22" s="153"/>
      <c r="L22" s="48"/>
      <c r="M22" s="48"/>
      <c r="N22" s="48"/>
    </row>
    <row r="23" spans="1:14" ht="15">
      <c r="A23" s="5">
        <v>-0.15</v>
      </c>
      <c r="B23" s="262">
        <f>56*(1+$A$23)</f>
        <v>47.6</v>
      </c>
      <c r="C23" s="267">
        <v>-960.5667423421496</v>
      </c>
      <c r="D23" s="264">
        <v>0.2394624144734584</v>
      </c>
      <c r="E23"/>
      <c r="F23" s="5">
        <v>-0.15</v>
      </c>
      <c r="G23" s="262">
        <f>129*(1+$F$23)</f>
        <v>109.64999999999999</v>
      </c>
      <c r="H23" s="267">
        <v>-966.4530489257381</v>
      </c>
      <c r="I23" s="264">
        <v>0.24</v>
      </c>
      <c r="J23"/>
      <c r="K23" s="153"/>
      <c r="L23"/>
      <c r="M23"/>
      <c r="N23"/>
    </row>
    <row r="24" spans="1:14" ht="15">
      <c r="A24"/>
      <c r="B24" s="250">
        <f>67.2*(1+$A$23)</f>
        <v>57.12</v>
      </c>
      <c r="C24" s="268">
        <v>-1311.3075872930217</v>
      </c>
      <c r="D24" s="252">
        <v>0.18</v>
      </c>
      <c r="E24"/>
      <c r="F24"/>
      <c r="G24" s="269">
        <f>129*(1+$F$23)</f>
        <v>109.64999999999999</v>
      </c>
      <c r="H24" s="273">
        <v>-1318.371155193337</v>
      </c>
      <c r="I24" s="271">
        <v>0.18</v>
      </c>
      <c r="J24"/>
      <c r="K24"/>
      <c r="L24"/>
      <c r="M24"/>
      <c r="N24"/>
    </row>
    <row r="25" spans="1:14" ht="15.75" thickBot="1">
      <c r="A25"/>
      <c r="B25" s="171">
        <f>78.4*(1+$A$23)</f>
        <v>66.64</v>
      </c>
      <c r="C25" s="228">
        <v>-2480.4437371292775</v>
      </c>
      <c r="D25" s="229">
        <v>-0.12</v>
      </c>
      <c r="E25"/>
      <c r="F25"/>
      <c r="G25" s="171">
        <f>172*(1+$F$23)</f>
        <v>146.2</v>
      </c>
      <c r="H25" s="228">
        <v>-2491.431509418656</v>
      </c>
      <c r="I25" s="229">
        <v>-0.12</v>
      </c>
      <c r="J25"/>
      <c r="K25"/>
      <c r="L25"/>
      <c r="M25"/>
      <c r="N25"/>
    </row>
    <row r="26" spans="1:14" ht="15">
      <c r="A26"/>
      <c r="B26" s="169"/>
      <c r="C26"/>
      <c r="D26"/>
      <c r="E26"/>
      <c r="F26" s="153"/>
      <c r="G26" s="48"/>
      <c r="H26"/>
      <c r="I26"/>
      <c r="J26"/>
      <c r="K26"/>
      <c r="L26"/>
      <c r="M26"/>
      <c r="N26"/>
    </row>
    <row r="27" spans="1:14" ht="15">
      <c r="A27"/>
      <c r="B27" s="169"/>
      <c r="C27"/>
      <c r="D27"/>
      <c r="E27"/>
      <c r="F27" s="154"/>
      <c r="G27"/>
      <c r="H27" s="283">
        <f>7/18</f>
        <v>0.3888888888888889</v>
      </c>
      <c r="I27"/>
      <c r="J27"/>
      <c r="K27"/>
      <c r="L27"/>
      <c r="M27"/>
      <c r="N27"/>
    </row>
    <row r="28" spans="1:14" ht="15">
      <c r="A28"/>
      <c r="B28" s="169"/>
      <c r="C28" s="283">
        <f>7/18</f>
        <v>0.3888888888888889</v>
      </c>
      <c r="D28"/>
      <c r="E28"/>
      <c r="F28" s="154"/>
      <c r="G28"/>
      <c r="H28"/>
      <c r="I28"/>
      <c r="J28"/>
      <c r="K28"/>
      <c r="L28"/>
      <c r="M28"/>
      <c r="N28"/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E1">
      <selection activeCell="M8" sqref="M8:O16"/>
    </sheetView>
  </sheetViews>
  <sheetFormatPr defaultColWidth="11.421875" defaultRowHeight="15"/>
  <cols>
    <col min="2" max="2" width="12.00390625" style="0" bestFit="1" customWidth="1"/>
    <col min="15" max="15" width="14.00390625" style="0" customWidth="1"/>
  </cols>
  <sheetData>
    <row r="1" spans="1:3" ht="15.75" thickBot="1">
      <c r="A1" s="10"/>
      <c r="B1" s="10"/>
      <c r="C1" s="10"/>
    </row>
    <row r="2" spans="1:11" ht="15">
      <c r="A2" s="400" t="s">
        <v>277</v>
      </c>
      <c r="B2" s="401"/>
      <c r="C2" s="402"/>
      <c r="E2" s="400" t="s">
        <v>278</v>
      </c>
      <c r="F2" s="401"/>
      <c r="G2" s="402"/>
      <c r="I2" s="400" t="s">
        <v>279</v>
      </c>
      <c r="J2" s="401"/>
      <c r="K2" s="402"/>
    </row>
    <row r="3" spans="1:11" ht="15">
      <c r="A3" s="258"/>
      <c r="B3" s="257">
        <v>793.14</v>
      </c>
      <c r="C3" s="259">
        <v>0.48</v>
      </c>
      <c r="E3" s="258"/>
      <c r="F3" s="257">
        <v>793.14</v>
      </c>
      <c r="G3" s="259">
        <v>0.48</v>
      </c>
      <c r="I3" s="258"/>
      <c r="J3" s="257">
        <v>793.14</v>
      </c>
      <c r="K3" s="259">
        <v>0.48</v>
      </c>
    </row>
    <row r="4" spans="1:11" ht="15">
      <c r="A4" s="289">
        <v>0.05</v>
      </c>
      <c r="B4" s="302">
        <f>('Resultados de las Variables'!C11/793.14)-1</f>
        <v>0.7370269527830495</v>
      </c>
      <c r="C4" s="303">
        <f>('Resultados de las Variables'!D11/$C$3)-1</f>
        <v>0.16248420742291736</v>
      </c>
      <c r="E4" s="291">
        <v>0.05</v>
      </c>
      <c r="F4" s="292">
        <f>('Resultados de las Variables'!C12/793.14)-1</f>
        <v>0.8844329781803579</v>
      </c>
      <c r="G4" s="293">
        <f>('Resultados de las Variables'!D12/'Analisis de Sensibilidad'!G3)-1</f>
        <v>0.1875</v>
      </c>
      <c r="I4" s="314">
        <v>0.05</v>
      </c>
      <c r="J4" s="315">
        <f>('Resultados de las Variables'!C13/'Analisis de Sensibilidad'!J3)-1</f>
        <v>1.3757863961713954</v>
      </c>
      <c r="K4" s="316">
        <f>('Resultados de las Variables'!D13/'Analisis de Sensibilidad'!K3)-1</f>
        <v>0.29166666666666674</v>
      </c>
    </row>
    <row r="5" spans="1:11" ht="15">
      <c r="A5" s="290">
        <v>0.1</v>
      </c>
      <c r="B5" s="302">
        <f>('Resultados de las Variables'!C8/793.14)-1</f>
        <v>1.4740570797696164</v>
      </c>
      <c r="C5" s="303">
        <f>('Resultados de las Variables'!D8/$C$3)-1</f>
        <v>0.3149152215691353</v>
      </c>
      <c r="E5" s="294">
        <v>0.1</v>
      </c>
      <c r="F5" s="292">
        <f>('Resultados de las Variables'!C9/'Analisis de Sensibilidad'!F3)-1</f>
        <v>1.768869130564246</v>
      </c>
      <c r="G5" s="293">
        <f>('Resultados de las Variables'!D9/'Analisis de Sensibilidad'!G3)-1</f>
        <v>0.3750000000000002</v>
      </c>
      <c r="I5" s="317">
        <v>0.1</v>
      </c>
      <c r="J5" s="315">
        <f>('Resultados de las Variables'!C10/'Analisis de Sensibilidad'!J3)-1</f>
        <v>2.7515759665463215</v>
      </c>
      <c r="K5" s="316">
        <f>('Resultados de las Variables'!D10/'Analisis de Sensibilidad'!K3)-1</f>
        <v>0.5833333333333335</v>
      </c>
    </row>
    <row r="6" spans="1:11" ht="15">
      <c r="A6" s="290">
        <v>0.15</v>
      </c>
      <c r="B6" s="302">
        <f>('Resultados de las Variables'!C5/793.14)-1</f>
        <v>2.211087206756184</v>
      </c>
      <c r="C6" s="303">
        <f>('Resultados de las Variables'!D5/$C$3)-1</f>
        <v>0.4651966466567179</v>
      </c>
      <c r="E6" s="294">
        <v>0.15</v>
      </c>
      <c r="F6" s="292">
        <f>('Resultados de las Variables'!C6/'Analisis de Sensibilidad'!F3)-1</f>
        <v>2.65330528294812</v>
      </c>
      <c r="G6" s="293">
        <f>('Resultados de las Variables'!D6/'Analisis de Sensibilidad'!G3)-1</f>
        <v>0.5546047334620736</v>
      </c>
      <c r="I6" s="317">
        <v>0.15</v>
      </c>
      <c r="J6" s="315">
        <f>('Resultados de las Variables'!C7/'Analisis de Sensibilidad'!J3)-1</f>
        <v>4.12736553692124</v>
      </c>
      <c r="K6" s="316">
        <f>('Resultados de las Variables'!D7/'Analisis de Sensibilidad'!K3)-1</f>
        <v>0.8541666666666667</v>
      </c>
    </row>
    <row r="7" spans="1:11" ht="15.75" thickBot="1">
      <c r="A7" s="258"/>
      <c r="B7" s="256"/>
      <c r="C7" s="242"/>
      <c r="E7" s="258"/>
      <c r="F7" s="256"/>
      <c r="G7" s="242"/>
      <c r="I7" s="258"/>
      <c r="J7" s="256"/>
      <c r="K7" s="242"/>
    </row>
    <row r="8" spans="1:15" ht="15">
      <c r="A8" s="307">
        <v>-0.05</v>
      </c>
      <c r="B8" s="308">
        <f>('Resultados de las Variables'!C17/793.14)-1</f>
        <v>-0.7370333011900807</v>
      </c>
      <c r="C8" s="309">
        <f>('Resultados de las Variables'!D17/$C$3)-1</f>
        <v>-0.1533156013902629</v>
      </c>
      <c r="E8" s="295">
        <v>-0.05</v>
      </c>
      <c r="F8" s="296">
        <f>('Resultados de las Variables'!C18/'Analisis de Sensibilidad'!F3)-1</f>
        <v>-0.884439326587387</v>
      </c>
      <c r="G8" s="297">
        <f>('Resultados de las Variables'!D17/'Analisis de Sensibilidad'!G3)-1</f>
        <v>-0.1533156013902629</v>
      </c>
      <c r="I8" s="321">
        <v>-0.05</v>
      </c>
      <c r="J8" s="322">
        <f>('Resultados de las Variables'!C19/'Analisis de Sensibilidad'!J3)-1</f>
        <v>-1.3757927445784421</v>
      </c>
      <c r="K8" s="323">
        <f>('Resultados de las Variables'!D19/'Analisis de Sensibilidad'!K3)-1</f>
        <v>-0.29166666666666663</v>
      </c>
      <c r="M8" s="400" t="s">
        <v>282</v>
      </c>
      <c r="N8" s="401"/>
      <c r="O8" s="402"/>
    </row>
    <row r="9" spans="1:15" ht="15">
      <c r="A9" s="310">
        <v>-0.1</v>
      </c>
      <c r="B9" s="308">
        <f>('Resultados de las Variables'!C20/793.14)-1</f>
        <v>-1.4740634281766454</v>
      </c>
      <c r="C9" s="309">
        <f>('Resultados de las Variables'!D20/$C$3)-1</f>
        <v>-0.32096111476552114</v>
      </c>
      <c r="E9" s="298">
        <v>-0.1</v>
      </c>
      <c r="F9" s="296">
        <f>('Resultados de las Variables'!C21/'Analisis de Sensibilidad'!F3)-1</f>
        <v>-1.768875478971275</v>
      </c>
      <c r="G9" s="297">
        <f>('Resultados de las Variables'!D21/'Analisis de Sensibilidad'!G3)-1</f>
        <v>-0.39583333333333337</v>
      </c>
      <c r="I9" s="324">
        <v>-0.1</v>
      </c>
      <c r="J9" s="322">
        <f>('Resultados de las Variables'!C22/'Analisis de Sensibilidad'!J3)-1</f>
        <v>-4.015062532644617</v>
      </c>
      <c r="K9" s="323">
        <f>('Resultados de las Variables'!D22/'Analisis de Sensibilidad'!K3)-1</f>
        <v>-1.1458333333333333</v>
      </c>
      <c r="M9" s="258"/>
      <c r="N9" s="257">
        <v>793.14</v>
      </c>
      <c r="O9" s="259">
        <v>0.48</v>
      </c>
    </row>
    <row r="10" spans="1:15" ht="15.75" thickBot="1">
      <c r="A10" s="311">
        <v>-0.15</v>
      </c>
      <c r="B10" s="312">
        <f>('Resultados de las Variables'!C23/793.14)-1</f>
        <v>-2.2110935551632114</v>
      </c>
      <c r="C10" s="313">
        <f>('Resultados de las Variables'!D23/$C$3)-1</f>
        <v>-0.5011199698469617</v>
      </c>
      <c r="E10" s="299">
        <v>-0.15</v>
      </c>
      <c r="F10" s="300">
        <f>('Resultados de las Variables'!C24/'Analisis de Sensibilidad'!F3)-1</f>
        <v>-2.6533116313551472</v>
      </c>
      <c r="G10" s="301">
        <f>('Resultados de las Variables'!D24/'Analisis de Sensibilidad'!G3)-1</f>
        <v>-0.625</v>
      </c>
      <c r="I10" s="325">
        <v>-0.15</v>
      </c>
      <c r="J10" s="326">
        <f>('Resultados de las Variables'!C25/'Analisis de Sensibilidad'!J3)-1</f>
        <v>-4.127371885328287</v>
      </c>
      <c r="K10" s="327">
        <f>('Resultados de las Variables'!D25/'Analisis de Sensibilidad'!K3)-1</f>
        <v>-1.25</v>
      </c>
      <c r="M10" s="286">
        <v>0.05</v>
      </c>
      <c r="N10" s="345">
        <f>('Resultados de las Variables'!M7/'Analisis de Sensibilidad'!N9)-1</f>
        <v>-1.60044235261541</v>
      </c>
      <c r="O10" s="287">
        <f>('Resultados de las Variables'!N7/'Analisis de Sensibilidad'!O9)-1</f>
        <v>-0.35416666666666663</v>
      </c>
    </row>
    <row r="11" spans="1:15" ht="15">
      <c r="A11" s="10"/>
      <c r="B11" s="10"/>
      <c r="C11" s="10"/>
      <c r="M11" s="288">
        <v>0.1</v>
      </c>
      <c r="N11" s="345">
        <f>('Resultados de las Variables'!M6/'Analisis de Sensibilidad'!N9)-1</f>
        <v>-3.2008815310273047</v>
      </c>
      <c r="O11" s="287">
        <f>('Resultados de las Variables'!N6/'Analisis de Sensibilidad'!O9)-1</f>
        <v>-0.7916666666666666</v>
      </c>
    </row>
    <row r="12" spans="1:15" ht="15.75" thickBot="1">
      <c r="A12" s="10"/>
      <c r="B12" s="10"/>
      <c r="C12" s="10"/>
      <c r="M12" s="288">
        <v>0.15</v>
      </c>
      <c r="N12" s="345">
        <f>('Resultados de las Variables'!M5/'Analisis de Sensibilidad'!N9)-1</f>
        <v>-4.801320709439208</v>
      </c>
      <c r="O12" s="287" t="e">
        <f>('Resultados de las Variables'!N5/'Analisis de Sensibilidad'!O9)-1</f>
        <v>#NUM!</v>
      </c>
    </row>
    <row r="13" spans="1:15" ht="15">
      <c r="A13" s="403" t="s">
        <v>280</v>
      </c>
      <c r="B13" s="404"/>
      <c r="C13" s="405"/>
      <c r="E13" s="403" t="s">
        <v>280</v>
      </c>
      <c r="F13" s="404"/>
      <c r="G13" s="405"/>
      <c r="I13" s="403" t="s">
        <v>281</v>
      </c>
      <c r="J13" s="404"/>
      <c r="K13" s="405"/>
      <c r="M13" s="258"/>
      <c r="N13" s="256"/>
      <c r="O13" s="242"/>
    </row>
    <row r="14" spans="1:15" ht="15">
      <c r="A14" s="15"/>
      <c r="B14" s="257">
        <v>793.14</v>
      </c>
      <c r="C14" s="259">
        <v>0.48</v>
      </c>
      <c r="E14" s="15"/>
      <c r="F14" s="257">
        <v>793.14</v>
      </c>
      <c r="G14" s="259">
        <v>0.48</v>
      </c>
      <c r="I14" s="15"/>
      <c r="J14" s="257">
        <v>793.14</v>
      </c>
      <c r="K14" s="259">
        <v>0.48</v>
      </c>
      <c r="M14" s="304">
        <v>-0.05</v>
      </c>
      <c r="N14" s="353">
        <f>('Resultados de las Variables'!M9/'Analisis de Sensibilidad'!N9)-1</f>
        <v>1.60043600420838</v>
      </c>
      <c r="O14" s="354">
        <f>('Resultados de las Variables'!N9/'Analisis de Sensibilidad'!O9)-1</f>
        <v>0.3333333333333335</v>
      </c>
    </row>
    <row r="15" spans="1:15" ht="15">
      <c r="A15" s="321">
        <v>0.05</v>
      </c>
      <c r="B15" s="328">
        <f>('Resultados de las Variables'!H11/'Analisis de Sensibilidad'!B14)-1</f>
        <v>0.7278591893397943</v>
      </c>
      <c r="C15" s="323">
        <f>('Resultados de las Variables'!I11/'Analisis de Sensibilidad'!C14)-1</f>
        <v>0.16666666666666674</v>
      </c>
      <c r="E15" s="318">
        <v>0.05</v>
      </c>
      <c r="F15" s="336">
        <f>('Resultados de las Variables'!H12/'Analisis de Sensibilidad'!F14)-1</f>
        <v>0.8734316620484546</v>
      </c>
      <c r="G15" s="319">
        <f>('Resultados de las Variables'!I12/'Analisis de Sensibilidad'!G14)-1</f>
        <v>0.1875</v>
      </c>
      <c r="I15" s="341">
        <v>0.05</v>
      </c>
      <c r="J15" s="342">
        <f>('Resultados de las Variables'!H13/'Analisis de Sensibilidad'!J14)-1</f>
        <v>1.3586732377439965</v>
      </c>
      <c r="K15" s="343">
        <f>('Resultados de las Variables'!I13/'Analisis de Sensibilidad'!K14)-1</f>
        <v>0.29166666666666674</v>
      </c>
      <c r="M15" s="305">
        <v>-0.1</v>
      </c>
      <c r="N15" s="353">
        <f>('Resultados de las Variables'!M10/'Analisis de Sensibilidad'!N9)-1</f>
        <v>3.200875182620278</v>
      </c>
      <c r="O15" s="354">
        <f>('Resultados de las Variables'!N10/'Analisis de Sensibilidad'!O9)-1</f>
        <v>0.6666666666666667</v>
      </c>
    </row>
    <row r="16" spans="1:15" ht="15.75" thickBot="1">
      <c r="A16" s="324">
        <v>0.1</v>
      </c>
      <c r="B16" s="328">
        <f>('Resultados de las Variables'!H8/'Analisis de Sensibilidad'!B14)-1</f>
        <v>1.4644527561624017</v>
      </c>
      <c r="C16" s="323">
        <f>('Resultados de las Variables'!I8/'Analisis de Sensibilidad'!C14)-1</f>
        <v>0.3125</v>
      </c>
      <c r="E16" s="320">
        <v>0.1</v>
      </c>
      <c r="F16" s="336">
        <f>('Resultados de las Variables'!H9/'Analisis de Sensibilidad'!F14)-1</f>
        <v>1.7573439422355808</v>
      </c>
      <c r="G16" s="319">
        <f>('Resultados de las Variables'!I9/'Analisis de Sensibilidad'!G14)-1</f>
        <v>0.3750000000000002</v>
      </c>
      <c r="I16" s="344">
        <v>0.1</v>
      </c>
      <c r="J16" s="342">
        <f>('Resultados de las Variables'!H10/'Analisis de Sensibilidad'!J14)-1</f>
        <v>2.7336478958128554</v>
      </c>
      <c r="K16" s="343">
        <f>('Resultados de las Variables'!I10/'Analisis de Sensibilidad'!K14)-1</f>
        <v>0.5625</v>
      </c>
      <c r="M16" s="306">
        <v>-0.15</v>
      </c>
      <c r="N16" s="355">
        <f>('Resultados de las Variables'!M11/'Analisis de Sensibilidad'!N9)-1</f>
        <v>4.801314361032174</v>
      </c>
      <c r="O16" s="356">
        <f>('Resultados de las Variables'!N11/'Analisis de Sensibilidad'!O9)-1</f>
        <v>0.9791666666666667</v>
      </c>
    </row>
    <row r="17" spans="1:11" ht="15">
      <c r="A17" s="324">
        <v>0.15</v>
      </c>
      <c r="B17" s="328">
        <f>('Resultados de las Variables'!H5/'Analisis de Sensibilidad'!B14)-1</f>
        <v>1.2874418990189804</v>
      </c>
      <c r="C17" s="323">
        <f>('Resultados de las Variables'!I5/'Analisis de Sensibilidad'!C14)-1</f>
        <v>0.27083333333333326</v>
      </c>
      <c r="E17" s="320">
        <v>0.15</v>
      </c>
      <c r="F17" s="336">
        <f>('Resultados de las Variables'!H6/'Analisis de Sensibilidad'!F14)-1</f>
        <v>2.641256222422708</v>
      </c>
      <c r="G17" s="319">
        <f>('Resultados de las Variables'!I6/'Analisis de Sensibilidad'!G14)-1</f>
        <v>0.5625</v>
      </c>
      <c r="I17" s="344">
        <v>0.15</v>
      </c>
      <c r="J17" s="342">
        <f>('Resultados de las Variables'!H7/'Analisis de Sensibilidad'!J14)-1</f>
        <v>4.108622553881701</v>
      </c>
      <c r="K17" s="343">
        <f>('Resultados de las Variables'!I7/'Analisis de Sensibilidad'!K14)-1</f>
        <v>0.8541666666666667</v>
      </c>
    </row>
    <row r="18" spans="1:11" ht="15">
      <c r="A18" s="258"/>
      <c r="B18" s="260"/>
      <c r="C18" s="242"/>
      <c r="E18" s="258"/>
      <c r="F18" s="260"/>
      <c r="G18" s="261"/>
      <c r="I18" s="258"/>
      <c r="J18" s="260"/>
      <c r="K18" s="261"/>
    </row>
    <row r="19" spans="1:11" ht="15">
      <c r="A19" s="329">
        <v>-0.05</v>
      </c>
      <c r="B19" s="330">
        <f>('Resultados de las Variables'!H17/'Analisis de Sensibilidad'!B14)-1</f>
        <v>-0.7453279443054078</v>
      </c>
      <c r="C19" s="331">
        <f>('Resultados de las Variables'!I17/'Analisis de Sensibilidad'!C14)-1</f>
        <v>-0.14583333333333337</v>
      </c>
      <c r="E19" s="307">
        <v>-0.05</v>
      </c>
      <c r="F19" s="337">
        <f>('Resultados de las Variables'!H18/'Analisis de Sensibilidad'!F14)-1</f>
        <v>-0.8943928983257793</v>
      </c>
      <c r="G19" s="338">
        <f>('Resultados de las Variables'!I18/'Analisis de Sensibilidad'!G14)-1</f>
        <v>-0.1874999999999999</v>
      </c>
      <c r="I19" s="346">
        <v>-0.05</v>
      </c>
      <c r="J19" s="347">
        <f>('Resultados de las Variables'!H19/'Analisis de Sensibilidad'!J14)-1</f>
        <v>-1.3912760783937101</v>
      </c>
      <c r="K19" s="348">
        <f>('Resultados de las Variables'!I19/'Analisis de Sensibilidad'!K14)-1</f>
        <v>-0.29166666666666663</v>
      </c>
    </row>
    <row r="20" spans="1:11" ht="15">
      <c r="A20" s="332">
        <v>-0.1</v>
      </c>
      <c r="B20" s="330">
        <f>('Resultados de las Variables'!H20/'Analisis de Sensibilidad'!B14)-1</f>
        <v>-1.4819215111280042</v>
      </c>
      <c r="C20" s="331">
        <f>('Resultados de las Variables'!I20/'Analisis de Sensibilidad'!C14)-1</f>
        <v>-0.3124999999999999</v>
      </c>
      <c r="E20" s="310">
        <v>-0.1</v>
      </c>
      <c r="F20" s="337">
        <f>('Resultados de las Variables'!H21/'Analisis de Sensibilidad'!F14)-1</f>
        <v>-1.7783051785129054</v>
      </c>
      <c r="G20" s="338">
        <f>('Resultados de las Variables'!I21/'Analisis de Sensibilidad'!G14)-1</f>
        <v>-0.39583333333333337</v>
      </c>
      <c r="I20" s="349">
        <v>-0.1</v>
      </c>
      <c r="J20" s="347">
        <f>('Resultados de las Variables'!H22/'Analisis de Sensibilidad'!J14)-1</f>
        <v>-2.766250736462561</v>
      </c>
      <c r="K20" s="348">
        <f>('Resultados de las Variables'!I22/'Analisis de Sensibilidad'!K14)-1</f>
        <v>-0.6458333333333333</v>
      </c>
    </row>
    <row r="21" spans="1:11" ht="15.75" thickBot="1">
      <c r="A21" s="333">
        <v>-0.15</v>
      </c>
      <c r="B21" s="334">
        <f>('Resultados de las Variables'!H23/'Analisis de Sensibilidad'!B14)-1</f>
        <v>-2.218515077950599</v>
      </c>
      <c r="C21" s="335">
        <f>('Resultados de las Variables'!I23/'Analisis de Sensibilidad'!C14)-1</f>
        <v>-0.5</v>
      </c>
      <c r="E21" s="311">
        <v>-0.15</v>
      </c>
      <c r="F21" s="339">
        <f>('Resultados de las Variables'!H24/'Analisis de Sensibilidad'!F14)-1</f>
        <v>-2.662217458700024</v>
      </c>
      <c r="G21" s="340">
        <f>('Resultados de las Variables'!I24/'Analisis de Sensibilidad'!G14)-1</f>
        <v>-0.625</v>
      </c>
      <c r="I21" s="350">
        <v>-0.15</v>
      </c>
      <c r="J21" s="351">
        <f>('Resultados de las Variables'!H25/'Analisis de Sensibilidad'!J14)-1</f>
        <v>-4.141225394531427</v>
      </c>
      <c r="K21" s="352">
        <f>('Resultados de las Variables'!I25/'Analisis de Sensibilidad'!K14)-1</f>
        <v>-1.25</v>
      </c>
    </row>
    <row r="24" ht="15">
      <c r="D24" t="s">
        <v>283</v>
      </c>
    </row>
  </sheetData>
  <sheetProtection/>
  <mergeCells count="7">
    <mergeCell ref="M8:O8"/>
    <mergeCell ref="A2:C2"/>
    <mergeCell ref="E2:G2"/>
    <mergeCell ref="I2:K2"/>
    <mergeCell ref="A13:C13"/>
    <mergeCell ref="E13:G13"/>
    <mergeCell ref="I13:K1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4"/>
  <sheetViews>
    <sheetView zoomScalePageLayoutView="0" workbookViewId="0" topLeftCell="A1">
      <selection activeCell="F3" sqref="B3:F3"/>
    </sheetView>
  </sheetViews>
  <sheetFormatPr defaultColWidth="11.421875" defaultRowHeight="15"/>
  <sheetData>
    <row r="2" ht="15">
      <c r="B2" s="9" t="s">
        <v>52</v>
      </c>
    </row>
    <row r="3" ht="15">
      <c r="B3" s="8" t="s">
        <v>51</v>
      </c>
    </row>
    <row r="5" ht="15.75" customHeight="1"/>
    <row r="8" ht="15.75" thickBot="1"/>
    <row r="9" spans="6:9" ht="18.75" customHeight="1" thickBot="1">
      <c r="F9" s="359" t="s">
        <v>36</v>
      </c>
      <c r="G9" s="360"/>
      <c r="H9" s="361"/>
      <c r="I9" s="362" t="s">
        <v>65</v>
      </c>
    </row>
    <row r="10" spans="6:9" ht="15.75" thickBot="1">
      <c r="F10" s="60" t="s">
        <v>41</v>
      </c>
      <c r="G10" s="60" t="s">
        <v>53</v>
      </c>
      <c r="H10" s="60" t="s">
        <v>54</v>
      </c>
      <c r="I10" s="363"/>
    </row>
    <row r="11" spans="5:9" ht="15">
      <c r="E11" s="86" t="s">
        <v>55</v>
      </c>
      <c r="F11" s="31">
        <f>'Cantidad Demandada'!D13</f>
        <v>10.756371249999999</v>
      </c>
      <c r="G11" s="13">
        <f>50*(1+0.12)</f>
        <v>56.00000000000001</v>
      </c>
      <c r="H11" s="67">
        <f>+G11*F11</f>
        <v>602.35679</v>
      </c>
      <c r="I11" s="68">
        <f>+H11*12</f>
        <v>7228.281480000001</v>
      </c>
    </row>
    <row r="12" spans="5:9" ht="15">
      <c r="E12" s="74" t="s">
        <v>56</v>
      </c>
      <c r="F12" s="32">
        <f>'Cantidad Demandada'!D14</f>
        <v>10.756371249999999</v>
      </c>
      <c r="G12" s="10">
        <f>60*(1+0.12)</f>
        <v>67.2</v>
      </c>
      <c r="H12" s="53">
        <f>+G12*F12</f>
        <v>722.8281479999999</v>
      </c>
      <c r="I12" s="76">
        <f>+H12*12</f>
        <v>8673.937775999999</v>
      </c>
    </row>
    <row r="13" spans="5:9" ht="15.75" thickBot="1">
      <c r="E13" s="87" t="s">
        <v>57</v>
      </c>
      <c r="F13" s="33">
        <f>'Cantidad Demandada'!D15</f>
        <v>14.341828333333334</v>
      </c>
      <c r="G13" s="18">
        <f>70*(1+0.12)</f>
        <v>78.4</v>
      </c>
      <c r="H13" s="69">
        <f>+G13*F13</f>
        <v>1124.3993413333335</v>
      </c>
      <c r="I13" s="30">
        <f>+H13*12</f>
        <v>13492.792096000001</v>
      </c>
    </row>
    <row r="14" spans="5:9" ht="15">
      <c r="E14" s="11" t="s">
        <v>25</v>
      </c>
      <c r="F14" s="177">
        <f>SUM(F11:F13)</f>
        <v>35.854570833333334</v>
      </c>
      <c r="G14" s="84">
        <f>SUM(G11:G13)</f>
        <v>201.60000000000002</v>
      </c>
      <c r="H14" s="85">
        <f>SUM(H11:H13)</f>
        <v>2449.584279333333</v>
      </c>
      <c r="I14" s="85">
        <f>+H14*12</f>
        <v>29395.011351999998</v>
      </c>
    </row>
  </sheetData>
  <sheetProtection/>
  <mergeCells count="2">
    <mergeCell ref="F9:H9"/>
    <mergeCell ref="I9:I10"/>
  </mergeCells>
  <hyperlinks>
    <hyperlink ref="B3" r:id="rId1" display="http://www.elperiodico.com.gt/es/20080129/pais/48019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5"/>
  <sheetViews>
    <sheetView zoomScalePageLayoutView="0" workbookViewId="0" topLeftCell="A1">
      <selection activeCell="A4" sqref="A4:C16"/>
    </sheetView>
  </sheetViews>
  <sheetFormatPr defaultColWidth="11.421875" defaultRowHeight="15"/>
  <cols>
    <col min="1" max="1" width="40.57421875" style="0" customWidth="1"/>
    <col min="4" max="4" width="15.00390625" style="0" customWidth="1"/>
    <col min="7" max="7" width="26.28125" style="0" customWidth="1"/>
  </cols>
  <sheetData>
    <row r="3" spans="1:9" ht="29.25" thickBot="1">
      <c r="A3" s="364" t="s">
        <v>27</v>
      </c>
      <c r="B3" s="364"/>
      <c r="C3" s="364"/>
      <c r="D3" s="364"/>
      <c r="E3" s="364"/>
      <c r="F3" s="364"/>
      <c r="G3" s="364"/>
      <c r="H3" s="364"/>
      <c r="I3" s="364"/>
    </row>
    <row r="4" spans="1:11" ht="15.75" thickBot="1">
      <c r="A4" s="170" t="s">
        <v>28</v>
      </c>
      <c r="B4" s="60" t="s">
        <v>36</v>
      </c>
      <c r="C4" s="60" t="s">
        <v>154</v>
      </c>
      <c r="G4" s="54" t="s">
        <v>29</v>
      </c>
      <c r="H4" s="21" t="s">
        <v>37</v>
      </c>
      <c r="I4" s="21" t="s">
        <v>174</v>
      </c>
      <c r="J4" s="1"/>
      <c r="K4" s="1"/>
    </row>
    <row r="5" spans="1:9" ht="15">
      <c r="A5" s="12" t="s">
        <v>60</v>
      </c>
      <c r="B5" s="22">
        <v>300</v>
      </c>
      <c r="C5" s="14">
        <f>B5*12</f>
        <v>3600</v>
      </c>
      <c r="G5" s="61" t="s">
        <v>98</v>
      </c>
      <c r="H5" s="22">
        <f>1*11</f>
        <v>11</v>
      </c>
      <c r="I5" s="61">
        <f>H5*12</f>
        <v>132</v>
      </c>
    </row>
    <row r="6" spans="1:9" ht="15">
      <c r="A6" s="15" t="s">
        <v>30</v>
      </c>
      <c r="B6" s="55">
        <v>1308</v>
      </c>
      <c r="C6" s="16">
        <f aca="true" t="shared" si="0" ref="C6:C12">B6*12</f>
        <v>15696</v>
      </c>
      <c r="G6" s="23" t="s">
        <v>67</v>
      </c>
      <c r="H6" s="23">
        <f>1.32*11</f>
        <v>14.520000000000001</v>
      </c>
      <c r="I6" s="23">
        <f>H6*12</f>
        <v>174.24</v>
      </c>
    </row>
    <row r="7" spans="1:9" ht="15">
      <c r="A7" s="15" t="s">
        <v>31</v>
      </c>
      <c r="B7" s="23">
        <v>4</v>
      </c>
      <c r="C7" s="16">
        <f t="shared" si="0"/>
        <v>48</v>
      </c>
      <c r="G7" s="23" t="s">
        <v>99</v>
      </c>
      <c r="H7" s="23">
        <f>2.32*14</f>
        <v>32.48</v>
      </c>
      <c r="I7" s="23">
        <f>H7*12</f>
        <v>389.76</v>
      </c>
    </row>
    <row r="8" spans="1:9" ht="15">
      <c r="A8" s="15" t="s">
        <v>32</v>
      </c>
      <c r="B8" s="23">
        <v>40</v>
      </c>
      <c r="C8" s="16">
        <f t="shared" si="0"/>
        <v>480</v>
      </c>
      <c r="D8" s="48" t="s">
        <v>209</v>
      </c>
      <c r="G8" s="23" t="s">
        <v>66</v>
      </c>
      <c r="H8" s="23">
        <v>15</v>
      </c>
      <c r="I8" s="23">
        <f>H8*12</f>
        <v>180</v>
      </c>
    </row>
    <row r="9" spans="1:9" ht="15.75" thickBot="1">
      <c r="A9" s="15" t="s">
        <v>33</v>
      </c>
      <c r="B9" s="23">
        <v>12</v>
      </c>
      <c r="C9" s="16">
        <f t="shared" si="0"/>
        <v>144</v>
      </c>
      <c r="D9" s="29">
        <f>SUM(C7:C9)</f>
        <v>672</v>
      </c>
      <c r="G9" s="24" t="s">
        <v>284</v>
      </c>
      <c r="H9" s="24">
        <f>2*11</f>
        <v>22</v>
      </c>
      <c r="I9" s="24">
        <f>H9*12</f>
        <v>264</v>
      </c>
    </row>
    <row r="10" spans="1:3" ht="15">
      <c r="A10" s="15" t="s">
        <v>38</v>
      </c>
      <c r="B10" s="23">
        <v>129</v>
      </c>
      <c r="C10" s="16">
        <f t="shared" si="0"/>
        <v>1548</v>
      </c>
    </row>
    <row r="11" spans="1:3" ht="15.75" thickBot="1">
      <c r="A11" s="15" t="s">
        <v>61</v>
      </c>
      <c r="B11" s="23">
        <v>90</v>
      </c>
      <c r="C11" s="16">
        <f t="shared" si="0"/>
        <v>1080</v>
      </c>
    </row>
    <row r="12" spans="1:9" ht="15.75" thickBot="1">
      <c r="A12" s="15" t="s">
        <v>40</v>
      </c>
      <c r="B12" s="23">
        <v>15</v>
      </c>
      <c r="C12" s="16">
        <f t="shared" si="0"/>
        <v>180</v>
      </c>
      <c r="G12" s="56" t="s">
        <v>192</v>
      </c>
      <c r="H12" s="58">
        <f>SUM(H5:H9)</f>
        <v>95</v>
      </c>
      <c r="I12" s="59">
        <f>SUM(I5:I9)</f>
        <v>1140</v>
      </c>
    </row>
    <row r="13" spans="1:8" ht="15">
      <c r="A13" s="15" t="s">
        <v>35</v>
      </c>
      <c r="B13" s="55">
        <v>99</v>
      </c>
      <c r="C13" s="16">
        <f>B13*12</f>
        <v>1188</v>
      </c>
      <c r="G13" s="48" t="s">
        <v>186</v>
      </c>
      <c r="H13">
        <f>(B5+B9+B10+B11+B12+B13+B14+H12)*0.12</f>
        <v>88.98228664899999</v>
      </c>
    </row>
    <row r="14" spans="1:3" ht="15">
      <c r="A14" s="15" t="s">
        <v>185</v>
      </c>
      <c r="B14" s="55">
        <f>(Ingresos!F14*3.4%)+0.3</f>
        <v>1.5190554083333334</v>
      </c>
      <c r="C14" s="76">
        <f>B14*12</f>
        <v>18.228664900000002</v>
      </c>
    </row>
    <row r="15" spans="1:9" ht="15.75" thickBot="1">
      <c r="A15" s="171" t="s">
        <v>203</v>
      </c>
      <c r="B15" s="73">
        <f>C15/12</f>
        <v>7.277216666666667</v>
      </c>
      <c r="C15" s="172">
        <f>('Inversion Total'!K22+'Inversion Total'!K18+'Inversion Total'!K15+'Inversion Total'!K14+'Inversion Total'!K6)*0.01</f>
        <v>87.3266</v>
      </c>
      <c r="G15" s="1"/>
      <c r="I15" s="1"/>
    </row>
    <row r="16" spans="1:3" ht="15.75" thickBot="1">
      <c r="A16" s="87" t="s">
        <v>191</v>
      </c>
      <c r="B16" s="73">
        <f>SUM(B5:B15)</f>
        <v>2005.796272075</v>
      </c>
      <c r="C16" s="73">
        <f>SUM(C5:C15)</f>
        <v>24069.555264900002</v>
      </c>
    </row>
    <row r="18" spans="1:2" ht="15.75" thickBot="1">
      <c r="A18" s="48" t="s">
        <v>210</v>
      </c>
      <c r="B18" s="8" t="s">
        <v>215</v>
      </c>
    </row>
    <row r="19" spans="1:3" ht="15.75" customHeight="1" thickBot="1">
      <c r="A19" s="178" t="s">
        <v>175</v>
      </c>
      <c r="B19" s="179" t="s">
        <v>176</v>
      </c>
      <c r="C19" s="180"/>
    </row>
    <row r="20" spans="1:3" ht="15.75" thickBot="1">
      <c r="A20" s="181" t="s">
        <v>177</v>
      </c>
      <c r="B20" s="182" t="s">
        <v>212</v>
      </c>
      <c r="C20" s="183"/>
    </row>
    <row r="21" spans="1:3" ht="15.75" thickBot="1">
      <c r="A21" s="181" t="s">
        <v>179</v>
      </c>
      <c r="B21" s="182" t="s">
        <v>178</v>
      </c>
      <c r="C21" s="183"/>
    </row>
    <row r="22" spans="1:3" ht="15.75" thickBot="1">
      <c r="A22" s="181" t="s">
        <v>180</v>
      </c>
      <c r="B22" s="182" t="s">
        <v>213</v>
      </c>
      <c r="C22" s="183"/>
    </row>
    <row r="23" spans="1:3" ht="15.75" thickBot="1">
      <c r="A23" s="184" t="s">
        <v>181</v>
      </c>
      <c r="B23" s="185" t="s">
        <v>214</v>
      </c>
      <c r="C23" s="186"/>
    </row>
    <row r="25" spans="1:2" ht="15">
      <c r="A25" s="187" t="s">
        <v>35</v>
      </c>
      <c r="B25" s="8" t="s">
        <v>216</v>
      </c>
    </row>
  </sheetData>
  <sheetProtection/>
  <mergeCells count="1">
    <mergeCell ref="A3:I3"/>
  </mergeCells>
  <hyperlinks>
    <hyperlink ref="B18" r:id="rId1" display="https://www.paypal.com/ec/cgi-bin/webscr?cmd=_display-receiving-fees-outside"/>
    <hyperlink ref="B25" r:id="rId2" display="http://leadernet.net.ec/"/>
  </hyperlinks>
  <printOptions/>
  <pageMargins left="0.7" right="0.7" top="0.75" bottom="0.75" header="0.3" footer="0.3"/>
  <pageSetup horizontalDpi="600" verticalDpi="600" orientation="portrait" r:id="rId6"/>
  <drawing r:id="rId5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2:Z47"/>
  <sheetViews>
    <sheetView zoomScalePageLayoutView="0" workbookViewId="0" topLeftCell="D25">
      <selection activeCell="E26" sqref="E26"/>
    </sheetView>
  </sheetViews>
  <sheetFormatPr defaultColWidth="11.421875" defaultRowHeight="15"/>
  <cols>
    <col min="1" max="1" width="26.8515625" style="0" customWidth="1"/>
    <col min="8" max="8" width="9.57421875" style="0" bestFit="1" customWidth="1"/>
    <col min="9" max="9" width="8.421875" style="0" customWidth="1"/>
    <col min="13" max="13" width="11.57421875" style="0" bestFit="1" customWidth="1"/>
    <col min="15" max="15" width="13.140625" style="0" customWidth="1"/>
    <col min="16" max="16" width="15.8515625" style="0" customWidth="1"/>
  </cols>
  <sheetData>
    <row r="2" ht="15">
      <c r="J2" s="28">
        <f>SUM(C7:N7)</f>
        <v>0.9999999999999999</v>
      </c>
    </row>
    <row r="3" spans="1:13" ht="15">
      <c r="A3" s="1" t="s">
        <v>83</v>
      </c>
      <c r="B3" s="8" t="s">
        <v>82</v>
      </c>
      <c r="I3" t="s">
        <v>86</v>
      </c>
      <c r="L3" s="28">
        <v>0.00935</v>
      </c>
      <c r="M3" t="s">
        <v>87</v>
      </c>
    </row>
    <row r="4" spans="11:13" ht="15">
      <c r="K4" s="51"/>
      <c r="M4" s="20"/>
    </row>
    <row r="5" ht="15.75" thickBot="1">
      <c r="D5" s="48"/>
    </row>
    <row r="6" spans="1:26" ht="15.75" thickBot="1">
      <c r="A6" s="77" t="s">
        <v>68</v>
      </c>
      <c r="C6" s="64" t="s">
        <v>70</v>
      </c>
      <c r="D6" s="65" t="s">
        <v>71</v>
      </c>
      <c r="E6" s="65" t="s">
        <v>72</v>
      </c>
      <c r="F6" s="65" t="s">
        <v>73</v>
      </c>
      <c r="G6" s="65" t="s">
        <v>74</v>
      </c>
      <c r="H6" s="65" t="s">
        <v>75</v>
      </c>
      <c r="I6" s="65" t="s">
        <v>76</v>
      </c>
      <c r="J6" s="65" t="s">
        <v>77</v>
      </c>
      <c r="K6" s="65" t="s">
        <v>78</v>
      </c>
      <c r="L6" s="65" t="s">
        <v>79</v>
      </c>
      <c r="M6" s="65" t="s">
        <v>80</v>
      </c>
      <c r="N6" s="66" t="s">
        <v>81</v>
      </c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15">
      <c r="A7" s="22" t="s">
        <v>69</v>
      </c>
      <c r="B7" s="52"/>
      <c r="C7" s="70">
        <v>0.024</v>
      </c>
      <c r="D7" s="70">
        <v>0.034</v>
      </c>
      <c r="E7" s="70">
        <v>0.044</v>
      </c>
      <c r="F7" s="70">
        <v>0.054</v>
      </c>
      <c r="G7" s="70">
        <v>0.064</v>
      </c>
      <c r="H7" s="70">
        <v>0.074</v>
      </c>
      <c r="I7" s="70">
        <v>0.084</v>
      </c>
      <c r="J7" s="70">
        <v>0.094</v>
      </c>
      <c r="K7" s="70">
        <v>0.104</v>
      </c>
      <c r="L7" s="70">
        <v>0.1413</v>
      </c>
      <c r="M7" s="70">
        <v>0.1413</v>
      </c>
      <c r="N7" s="70">
        <v>0.1414</v>
      </c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14" ht="15">
      <c r="A8" s="23" t="s">
        <v>88</v>
      </c>
      <c r="B8" s="49">
        <f>'Cantidad Demandada'!E6</f>
        <v>129.07645499999998</v>
      </c>
      <c r="C8" s="71">
        <f>$B$8*C7</f>
        <v>3.0978349199999995</v>
      </c>
      <c r="D8" s="71">
        <f aca="true" t="shared" si="0" ref="D8:N8">$B$8*D7</f>
        <v>4.38859947</v>
      </c>
      <c r="E8" s="71">
        <f t="shared" si="0"/>
        <v>5.679364019999999</v>
      </c>
      <c r="F8" s="71">
        <f t="shared" si="0"/>
        <v>6.970128569999999</v>
      </c>
      <c r="G8" s="71">
        <f t="shared" si="0"/>
        <v>8.260893119999999</v>
      </c>
      <c r="H8" s="71">
        <f t="shared" si="0"/>
        <v>9.551657669999997</v>
      </c>
      <c r="I8" s="71">
        <f t="shared" si="0"/>
        <v>10.84242222</v>
      </c>
      <c r="J8" s="71">
        <f t="shared" si="0"/>
        <v>12.133186769999998</v>
      </c>
      <c r="K8" s="71">
        <f t="shared" si="0"/>
        <v>13.423951319999997</v>
      </c>
      <c r="L8" s="71">
        <f t="shared" si="0"/>
        <v>18.2385030915</v>
      </c>
      <c r="M8" s="71">
        <f t="shared" si="0"/>
        <v>18.2385030915</v>
      </c>
      <c r="N8" s="71">
        <f t="shared" si="0"/>
        <v>18.251410736999997</v>
      </c>
    </row>
    <row r="9" spans="1:14" ht="15">
      <c r="A9" s="23" t="s">
        <v>89</v>
      </c>
      <c r="B9" s="49">
        <f>'Cantidad Demandada'!E7</f>
        <v>129.07645499999998</v>
      </c>
      <c r="C9" s="71">
        <f>$B$9*C7</f>
        <v>3.0978349199999995</v>
      </c>
      <c r="D9" s="71">
        <f aca="true" t="shared" si="1" ref="D9:N9">$B$9*D7</f>
        <v>4.38859947</v>
      </c>
      <c r="E9" s="71">
        <f t="shared" si="1"/>
        <v>5.679364019999999</v>
      </c>
      <c r="F9" s="71">
        <f t="shared" si="1"/>
        <v>6.970128569999999</v>
      </c>
      <c r="G9" s="71">
        <f t="shared" si="1"/>
        <v>8.260893119999999</v>
      </c>
      <c r="H9" s="71">
        <f t="shared" si="1"/>
        <v>9.551657669999997</v>
      </c>
      <c r="I9" s="71">
        <f t="shared" si="1"/>
        <v>10.84242222</v>
      </c>
      <c r="J9" s="71">
        <f t="shared" si="1"/>
        <v>12.133186769999998</v>
      </c>
      <c r="K9" s="71">
        <f t="shared" si="1"/>
        <v>13.423951319999997</v>
      </c>
      <c r="L9" s="71">
        <f t="shared" si="1"/>
        <v>18.2385030915</v>
      </c>
      <c r="M9" s="71">
        <f t="shared" si="1"/>
        <v>18.2385030915</v>
      </c>
      <c r="N9" s="71">
        <f t="shared" si="1"/>
        <v>18.251410736999997</v>
      </c>
    </row>
    <row r="10" spans="1:14" ht="15">
      <c r="A10" s="23" t="s">
        <v>90</v>
      </c>
      <c r="B10" s="49">
        <f>'Cantidad Demandada'!E8</f>
        <v>172.10194</v>
      </c>
      <c r="C10" s="71">
        <f>$B$10*C7</f>
        <v>4.13044656</v>
      </c>
      <c r="D10" s="71">
        <f aca="true" t="shared" si="2" ref="D10:N10">$B$10*D7</f>
        <v>5.8514659600000005</v>
      </c>
      <c r="E10" s="71">
        <f t="shared" si="2"/>
        <v>7.57248536</v>
      </c>
      <c r="F10" s="71">
        <f t="shared" si="2"/>
        <v>9.293504760000001</v>
      </c>
      <c r="G10" s="71">
        <f t="shared" si="2"/>
        <v>11.01452416</v>
      </c>
      <c r="H10" s="71">
        <f t="shared" si="2"/>
        <v>12.73554356</v>
      </c>
      <c r="I10" s="71">
        <f t="shared" si="2"/>
        <v>14.456562960000001</v>
      </c>
      <c r="J10" s="71">
        <f t="shared" si="2"/>
        <v>16.177582360000002</v>
      </c>
      <c r="K10" s="71">
        <f t="shared" si="2"/>
        <v>17.898601760000002</v>
      </c>
      <c r="L10" s="71">
        <f t="shared" si="2"/>
        <v>24.318004122000005</v>
      </c>
      <c r="M10" s="71">
        <f t="shared" si="2"/>
        <v>24.318004122000005</v>
      </c>
      <c r="N10" s="71">
        <f t="shared" si="2"/>
        <v>24.335214316000002</v>
      </c>
    </row>
    <row r="11" spans="1:14" ht="15">
      <c r="A11" s="23" t="s">
        <v>91</v>
      </c>
      <c r="B11">
        <f>Ingresos!G11</f>
        <v>56.00000000000001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ht="15">
      <c r="A12" s="23" t="s">
        <v>92</v>
      </c>
      <c r="B12">
        <f>Ingresos!G12</f>
        <v>67.2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ht="15">
      <c r="A13" s="23" t="s">
        <v>93</v>
      </c>
      <c r="B13">
        <f>Ingresos!G13</f>
        <v>78.4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 ht="15">
      <c r="A14" s="23" t="s">
        <v>94</v>
      </c>
      <c r="C14" s="55">
        <f>$B$11*C8</f>
        <v>173.47875552</v>
      </c>
      <c r="D14" s="55">
        <f>$B$11*D8</f>
        <v>245.76157032000003</v>
      </c>
      <c r="E14" s="55">
        <f aca="true" t="shared" si="3" ref="E14:N14">$B$11*E8</f>
        <v>318.04438511999996</v>
      </c>
      <c r="F14" s="55">
        <f t="shared" si="3"/>
        <v>390.32719992</v>
      </c>
      <c r="G14" s="55">
        <f t="shared" si="3"/>
        <v>462.61001472</v>
      </c>
      <c r="H14" s="55">
        <f t="shared" si="3"/>
        <v>534.89282952</v>
      </c>
      <c r="I14" s="55">
        <f t="shared" si="3"/>
        <v>607.1756443200001</v>
      </c>
      <c r="J14" s="55">
        <f t="shared" si="3"/>
        <v>679.45845912</v>
      </c>
      <c r="K14" s="55">
        <f t="shared" si="3"/>
        <v>751.7412739199999</v>
      </c>
      <c r="L14" s="55">
        <f t="shared" si="3"/>
        <v>1021.3561731240002</v>
      </c>
      <c r="M14" s="55">
        <f t="shared" si="3"/>
        <v>1021.3561731240002</v>
      </c>
      <c r="N14" s="55">
        <f t="shared" si="3"/>
        <v>1022.0790012719999</v>
      </c>
    </row>
    <row r="15" spans="1:14" ht="15">
      <c r="A15" s="23" t="s">
        <v>95</v>
      </c>
      <c r="C15" s="55">
        <f>$B$12*C9</f>
        <v>208.17450662399997</v>
      </c>
      <c r="D15" s="55">
        <f aca="true" t="shared" si="4" ref="D15:N15">$B$12*D9</f>
        <v>294.913884384</v>
      </c>
      <c r="E15" s="55">
        <f t="shared" si="4"/>
        <v>381.65326214399994</v>
      </c>
      <c r="F15" s="55">
        <f t="shared" si="4"/>
        <v>468.39263990399996</v>
      </c>
      <c r="G15" s="55">
        <f t="shared" si="4"/>
        <v>555.1320176639999</v>
      </c>
      <c r="H15" s="55">
        <f t="shared" si="4"/>
        <v>641.8713954239998</v>
      </c>
      <c r="I15" s="55">
        <f t="shared" si="4"/>
        <v>728.610773184</v>
      </c>
      <c r="J15" s="55">
        <f t="shared" si="4"/>
        <v>815.3501509439999</v>
      </c>
      <c r="K15" s="55">
        <f t="shared" si="4"/>
        <v>902.0895287039998</v>
      </c>
      <c r="L15" s="55">
        <f t="shared" si="4"/>
        <v>1225.6274077488001</v>
      </c>
      <c r="M15" s="55">
        <f t="shared" si="4"/>
        <v>1225.6274077488001</v>
      </c>
      <c r="N15" s="55">
        <f t="shared" si="4"/>
        <v>1226.4948015264</v>
      </c>
    </row>
    <row r="16" spans="1:14" ht="15">
      <c r="A16" s="23" t="s">
        <v>96</v>
      </c>
      <c r="C16" s="55">
        <f>$B$13*C10</f>
        <v>323.82701030400005</v>
      </c>
      <c r="D16" s="55">
        <f aca="true" t="shared" si="5" ref="D16:N16">$B$13*D10</f>
        <v>458.75493126400005</v>
      </c>
      <c r="E16" s="55">
        <f t="shared" si="5"/>
        <v>593.682852224</v>
      </c>
      <c r="F16" s="55">
        <f t="shared" si="5"/>
        <v>728.6107731840001</v>
      </c>
      <c r="G16" s="55">
        <f t="shared" si="5"/>
        <v>863.5386941440001</v>
      </c>
      <c r="H16" s="55">
        <f t="shared" si="5"/>
        <v>998.4666151040001</v>
      </c>
      <c r="I16" s="55">
        <f t="shared" si="5"/>
        <v>1133.3945360640002</v>
      </c>
      <c r="J16" s="55">
        <f t="shared" si="5"/>
        <v>1268.3224570240002</v>
      </c>
      <c r="K16" s="55">
        <f t="shared" si="5"/>
        <v>1403.2503779840004</v>
      </c>
      <c r="L16" s="55">
        <f t="shared" si="5"/>
        <v>1906.5315231648005</v>
      </c>
      <c r="M16" s="55">
        <f t="shared" si="5"/>
        <v>1906.5315231648005</v>
      </c>
      <c r="N16" s="55">
        <f t="shared" si="5"/>
        <v>1907.8808023744002</v>
      </c>
    </row>
    <row r="17" spans="1:14" ht="15">
      <c r="A17" s="74" t="s">
        <v>97</v>
      </c>
      <c r="C17" s="55">
        <f>SUM(C14:C16)</f>
        <v>705.480272448</v>
      </c>
      <c r="D17" s="55">
        <f aca="true" t="shared" si="6" ref="D17:N17">SUM(D14:D16)</f>
        <v>999.4303859680001</v>
      </c>
      <c r="E17" s="55">
        <f t="shared" si="6"/>
        <v>1293.380499488</v>
      </c>
      <c r="F17" s="55">
        <f t="shared" si="6"/>
        <v>1587.330613008</v>
      </c>
      <c r="G17" s="55">
        <f t="shared" si="6"/>
        <v>1881.280726528</v>
      </c>
      <c r="H17" s="55">
        <f t="shared" si="6"/>
        <v>2175.2308400479997</v>
      </c>
      <c r="I17" s="55">
        <f t="shared" si="6"/>
        <v>2469.1809535680004</v>
      </c>
      <c r="J17" s="55">
        <f t="shared" si="6"/>
        <v>2763.1310670880002</v>
      </c>
      <c r="K17" s="55">
        <f t="shared" si="6"/>
        <v>3057.081180608</v>
      </c>
      <c r="L17" s="55">
        <f t="shared" si="6"/>
        <v>4153.5151040376</v>
      </c>
      <c r="M17" s="55">
        <f t="shared" si="6"/>
        <v>4153.5151040376</v>
      </c>
      <c r="N17" s="55">
        <f t="shared" si="6"/>
        <v>4156.4546051728</v>
      </c>
    </row>
    <row r="18" spans="1:14" ht="15">
      <c r="A18" s="23" t="s">
        <v>28</v>
      </c>
      <c r="B18" s="20">
        <f>costos!B16</f>
        <v>2005.796272075</v>
      </c>
      <c r="C18" s="55">
        <f>costos!$B$16</f>
        <v>2005.796272075</v>
      </c>
      <c r="D18" s="55">
        <f>costos!$B$16</f>
        <v>2005.796272075</v>
      </c>
      <c r="E18" s="55">
        <f>costos!$B$16</f>
        <v>2005.796272075</v>
      </c>
      <c r="F18" s="55">
        <f>costos!$B$16</f>
        <v>2005.796272075</v>
      </c>
      <c r="G18" s="55">
        <f>costos!$B$16</f>
        <v>2005.796272075</v>
      </c>
      <c r="H18" s="55">
        <f>costos!$B$16</f>
        <v>2005.796272075</v>
      </c>
      <c r="I18" s="55">
        <f>costos!$B$16</f>
        <v>2005.796272075</v>
      </c>
      <c r="J18" s="55">
        <f>costos!$B$16</f>
        <v>2005.796272075</v>
      </c>
      <c r="K18" s="55">
        <f>costos!$B$16</f>
        <v>2005.796272075</v>
      </c>
      <c r="L18" s="55">
        <f>costos!$B$16</f>
        <v>2005.796272075</v>
      </c>
      <c r="M18" s="55">
        <f>costos!$B$16</f>
        <v>2005.796272075</v>
      </c>
      <c r="N18" s="55">
        <f>costos!$B$16</f>
        <v>2005.796272075</v>
      </c>
    </row>
    <row r="19" spans="1:14" ht="15">
      <c r="A19" s="23" t="s">
        <v>29</v>
      </c>
      <c r="B19">
        <f>costos!$H$12*(1+'Capital de Trabajo'!$B$7)</f>
        <v>95</v>
      </c>
      <c r="C19" s="55">
        <f>costos!$H$12*C7</f>
        <v>2.2800000000000002</v>
      </c>
      <c r="D19" s="55">
        <f>costos!$H$12*D7</f>
        <v>3.2300000000000004</v>
      </c>
      <c r="E19" s="55">
        <f>costos!$H$12*E7</f>
        <v>4.18</v>
      </c>
      <c r="F19" s="55">
        <f>costos!$H$12*F7</f>
        <v>5.13</v>
      </c>
      <c r="G19" s="55">
        <f>costos!$H$12*G7</f>
        <v>6.08</v>
      </c>
      <c r="H19" s="55">
        <f>costos!$H$12*H7</f>
        <v>7.029999999999999</v>
      </c>
      <c r="I19" s="55">
        <f>costos!$H$12*I7</f>
        <v>7.98</v>
      </c>
      <c r="J19" s="55">
        <f>costos!$H$12*J7</f>
        <v>8.93</v>
      </c>
      <c r="K19" s="55">
        <f>costos!$H$12*K7</f>
        <v>9.879999999999999</v>
      </c>
      <c r="L19" s="55">
        <f>costos!$H$12*L7</f>
        <v>13.4235</v>
      </c>
      <c r="M19" s="55">
        <f>costos!$H$12*M7</f>
        <v>13.4235</v>
      </c>
      <c r="N19" s="55">
        <f>costos!$H$12*N7</f>
        <v>13.433</v>
      </c>
    </row>
    <row r="20" spans="1:14" ht="15">
      <c r="A20" s="23" t="s">
        <v>100</v>
      </c>
      <c r="C20" s="55">
        <f>SUM(C18:C19)</f>
        <v>2008.076272075</v>
      </c>
      <c r="D20" s="55">
        <f aca="true" t="shared" si="7" ref="D20:N20">SUM(D18:D19)</f>
        <v>2009.026272075</v>
      </c>
      <c r="E20" s="55">
        <f t="shared" si="7"/>
        <v>2009.976272075</v>
      </c>
      <c r="F20" s="55">
        <f t="shared" si="7"/>
        <v>2010.926272075</v>
      </c>
      <c r="G20" s="55">
        <f t="shared" si="7"/>
        <v>2011.8762720749999</v>
      </c>
      <c r="H20" s="55">
        <f>SUM(H18:H19)</f>
        <v>2012.826272075</v>
      </c>
      <c r="I20" s="55">
        <f t="shared" si="7"/>
        <v>2013.776272075</v>
      </c>
      <c r="J20" s="55">
        <f t="shared" si="7"/>
        <v>2014.726272075</v>
      </c>
      <c r="K20" s="55">
        <f t="shared" si="7"/>
        <v>2015.676272075</v>
      </c>
      <c r="L20" s="55">
        <f t="shared" si="7"/>
        <v>2019.219772075</v>
      </c>
      <c r="M20" s="55">
        <f t="shared" si="7"/>
        <v>2019.219772075</v>
      </c>
      <c r="N20" s="55">
        <f t="shared" si="7"/>
        <v>2019.229272075</v>
      </c>
    </row>
    <row r="21" spans="1:14" ht="15">
      <c r="A21" s="74" t="s">
        <v>183</v>
      </c>
      <c r="C21" s="55">
        <f>C17*0.12</f>
        <v>84.65763269376001</v>
      </c>
      <c r="D21" s="55">
        <f aca="true" t="shared" si="8" ref="D21:N21">D17*0.12</f>
        <v>119.93164631616001</v>
      </c>
      <c r="E21" s="55">
        <f t="shared" si="8"/>
        <v>155.20565993856</v>
      </c>
      <c r="F21" s="55">
        <f t="shared" si="8"/>
        <v>190.47967356095998</v>
      </c>
      <c r="G21" s="55">
        <f t="shared" si="8"/>
        <v>225.75368718336</v>
      </c>
      <c r="H21" s="55">
        <f t="shared" si="8"/>
        <v>261.02770080575993</v>
      </c>
      <c r="I21" s="55">
        <f t="shared" si="8"/>
        <v>296.30171442816004</v>
      </c>
      <c r="J21" s="55">
        <f t="shared" si="8"/>
        <v>331.57572805056003</v>
      </c>
      <c r="K21" s="55">
        <f t="shared" si="8"/>
        <v>366.84974167296</v>
      </c>
      <c r="L21" s="55">
        <f t="shared" si="8"/>
        <v>498.42181248451203</v>
      </c>
      <c r="M21" s="55">
        <f t="shared" si="8"/>
        <v>498.42181248451203</v>
      </c>
      <c r="N21" s="55">
        <f t="shared" si="8"/>
        <v>498.774552620736</v>
      </c>
    </row>
    <row r="22" spans="1:14" ht="15">
      <c r="A22" s="74" t="s">
        <v>182</v>
      </c>
      <c r="C22" s="55">
        <f>costos!$H$13</f>
        <v>88.98228664899999</v>
      </c>
      <c r="D22" s="55">
        <f>costos!$H$13</f>
        <v>88.98228664899999</v>
      </c>
      <c r="E22" s="55">
        <f>costos!$H$13</f>
        <v>88.98228664899999</v>
      </c>
      <c r="F22" s="55">
        <f>costos!$H$13</f>
        <v>88.98228664899999</v>
      </c>
      <c r="G22" s="55">
        <f>costos!$H$13</f>
        <v>88.98228664899999</v>
      </c>
      <c r="H22" s="55">
        <f>costos!$H$13</f>
        <v>88.98228664899999</v>
      </c>
      <c r="I22" s="55">
        <f>costos!$H$13</f>
        <v>88.98228664899999</v>
      </c>
      <c r="J22" s="55">
        <f>costos!$H$13</f>
        <v>88.98228664899999</v>
      </c>
      <c r="K22" s="55">
        <f>costos!$H$13</f>
        <v>88.98228664899999</v>
      </c>
      <c r="L22" s="55">
        <f>costos!$H$13</f>
        <v>88.98228664899999</v>
      </c>
      <c r="M22" s="55">
        <f>costos!$H$13</f>
        <v>88.98228664899999</v>
      </c>
      <c r="N22" s="55">
        <f>costos!$H$13</f>
        <v>88.98228664899999</v>
      </c>
    </row>
    <row r="23" spans="1:14" ht="15.75" thickBot="1">
      <c r="A23" s="74" t="s">
        <v>187</v>
      </c>
      <c r="C23" s="55">
        <f>C22-C21</f>
        <v>4.324653955239981</v>
      </c>
      <c r="D23" s="55">
        <f>D22-D21</f>
        <v>-30.949359667160024</v>
      </c>
      <c r="E23" s="55">
        <f aca="true" t="shared" si="9" ref="E23:N23">E22-E21</f>
        <v>-66.22337328956</v>
      </c>
      <c r="F23" s="55">
        <f t="shared" si="9"/>
        <v>-101.49738691195999</v>
      </c>
      <c r="G23" s="55">
        <f t="shared" si="9"/>
        <v>-136.77140053436</v>
      </c>
      <c r="H23" s="55">
        <f t="shared" si="9"/>
        <v>-172.04541415675993</v>
      </c>
      <c r="I23" s="55">
        <f t="shared" si="9"/>
        <v>-207.31942777916004</v>
      </c>
      <c r="J23" s="73">
        <f t="shared" si="9"/>
        <v>-242.59344140156003</v>
      </c>
      <c r="K23" s="73">
        <f t="shared" si="9"/>
        <v>-277.86745502396</v>
      </c>
      <c r="L23" s="73">
        <f t="shared" si="9"/>
        <v>-409.43952583551203</v>
      </c>
      <c r="M23" s="73">
        <f t="shared" si="9"/>
        <v>-409.43952583551203</v>
      </c>
      <c r="N23" s="73">
        <f t="shared" si="9"/>
        <v>-409.792265971736</v>
      </c>
    </row>
    <row r="24" spans="1:22" ht="15">
      <c r="A24" s="22" t="s">
        <v>101</v>
      </c>
      <c r="C24" s="72">
        <f>C17-C20-C21+C22</f>
        <v>-1298.27134567176</v>
      </c>
      <c r="D24" s="72">
        <f>D17-D20-D21+D22</f>
        <v>-1040.5452457741599</v>
      </c>
      <c r="E24" s="72">
        <f aca="true" t="shared" si="10" ref="E24:N24">E17-E20-E21+E22</f>
        <v>-782.81914587656</v>
      </c>
      <c r="F24" s="72">
        <f t="shared" si="10"/>
        <v>-525.09304597896</v>
      </c>
      <c r="G24" s="72">
        <f t="shared" si="10"/>
        <v>-267.3669460813598</v>
      </c>
      <c r="H24" s="72">
        <f>H17-H20-H21+H22</f>
        <v>-9.640846183760189</v>
      </c>
      <c r="I24" s="75">
        <f t="shared" si="10"/>
        <v>248.08525371384042</v>
      </c>
      <c r="J24" s="72">
        <f t="shared" si="10"/>
        <v>505.8113536114402</v>
      </c>
      <c r="K24" s="72">
        <f t="shared" si="10"/>
        <v>763.53745350904</v>
      </c>
      <c r="L24" s="72">
        <f t="shared" si="10"/>
        <v>1724.8558061270883</v>
      </c>
      <c r="M24" s="72">
        <f t="shared" si="10"/>
        <v>1724.8558061270883</v>
      </c>
      <c r="N24" s="72">
        <f t="shared" si="10"/>
        <v>1727.433067126064</v>
      </c>
      <c r="U24" s="169"/>
      <c r="V24" s="169"/>
    </row>
    <row r="25" spans="1:22" ht="15.75" thickBot="1">
      <c r="A25" s="24" t="s">
        <v>102</v>
      </c>
      <c r="C25" s="73">
        <f>C24</f>
        <v>-1298.27134567176</v>
      </c>
      <c r="D25" s="73">
        <f>D24+C25</f>
        <v>-2338.8165914459196</v>
      </c>
      <c r="E25" s="73">
        <f>E24+D25</f>
        <v>-3121.6357373224796</v>
      </c>
      <c r="F25" s="73">
        <f aca="true" t="shared" si="11" ref="F25:N25">F24+E25</f>
        <v>-3646.7287833014398</v>
      </c>
      <c r="G25" s="73">
        <f t="shared" si="11"/>
        <v>-3914.0957293827996</v>
      </c>
      <c r="H25" s="188">
        <f>H24+G25</f>
        <v>-3923.7365755665596</v>
      </c>
      <c r="I25" s="24">
        <f t="shared" si="11"/>
        <v>-3675.6513218527193</v>
      </c>
      <c r="J25" s="73">
        <f t="shared" si="11"/>
        <v>-3169.839968241279</v>
      </c>
      <c r="K25" s="73">
        <f t="shared" si="11"/>
        <v>-2406.302514732239</v>
      </c>
      <c r="L25" s="73">
        <f t="shared" si="11"/>
        <v>-681.4467086051509</v>
      </c>
      <c r="M25" s="73">
        <f t="shared" si="11"/>
        <v>1043.4090975219374</v>
      </c>
      <c r="N25" s="73">
        <f t="shared" si="11"/>
        <v>2770.8421646480015</v>
      </c>
      <c r="U25" s="169"/>
      <c r="V25" s="169"/>
    </row>
    <row r="28" spans="3:16" ht="15">
      <c r="C28" s="20"/>
      <c r="P28" s="48"/>
    </row>
    <row r="32" ht="15.75" thickBot="1"/>
    <row r="33" spans="15:16" ht="15.75" thickBot="1">
      <c r="O33" s="245" t="s">
        <v>101</v>
      </c>
      <c r="P33" s="56" t="s">
        <v>102</v>
      </c>
    </row>
    <row r="34" spans="7:16" ht="15">
      <c r="G34" s="48"/>
      <c r="N34" s="233" t="s">
        <v>70</v>
      </c>
      <c r="O34" s="239">
        <v>-1298.27134567176</v>
      </c>
      <c r="P34" s="240">
        <v>-1298.27134567176</v>
      </c>
    </row>
    <row r="35" spans="3:16" ht="15">
      <c r="C35" s="8" t="s">
        <v>103</v>
      </c>
      <c r="N35" s="234" t="s">
        <v>71</v>
      </c>
      <c r="O35" s="238">
        <v>-1040.5452457741599</v>
      </c>
      <c r="P35" s="241">
        <v>-2338.8165914459196</v>
      </c>
    </row>
    <row r="36" spans="14:16" ht="15">
      <c r="N36" s="234" t="s">
        <v>72</v>
      </c>
      <c r="O36" s="238">
        <v>-782.81914587656</v>
      </c>
      <c r="P36" s="241">
        <v>-3121.6357373224796</v>
      </c>
    </row>
    <row r="37" spans="3:16" ht="15">
      <c r="C37" s="8" t="s">
        <v>104</v>
      </c>
      <c r="N37" s="234" t="s">
        <v>73</v>
      </c>
      <c r="O37" s="238">
        <v>-525.09304597896</v>
      </c>
      <c r="P37" s="241">
        <v>-3646.7287833014398</v>
      </c>
    </row>
    <row r="38" spans="10:16" ht="45">
      <c r="J38" s="25" t="s">
        <v>84</v>
      </c>
      <c r="K38" s="25" t="s">
        <v>85</v>
      </c>
      <c r="N38" s="234" t="s">
        <v>74</v>
      </c>
      <c r="O38" s="238">
        <v>-267.3669460813598</v>
      </c>
      <c r="P38" s="241">
        <v>-3914.0957293827996</v>
      </c>
    </row>
    <row r="39" spans="10:16" ht="15">
      <c r="J39" s="26">
        <v>2000</v>
      </c>
      <c r="K39" s="27">
        <v>2.04</v>
      </c>
      <c r="N39" s="234" t="s">
        <v>75</v>
      </c>
      <c r="O39" s="238">
        <v>-9.640846183760189</v>
      </c>
      <c r="P39" s="241">
        <v>-3923.7365755665596</v>
      </c>
    </row>
    <row r="40" spans="10:16" ht="15">
      <c r="J40" s="26">
        <v>2001</v>
      </c>
      <c r="K40" s="27">
        <v>2</v>
      </c>
      <c r="N40" s="234" t="s">
        <v>76</v>
      </c>
      <c r="O40" s="238">
        <v>248.08525371384042</v>
      </c>
      <c r="P40" s="242">
        <v>-3675.6513218527193</v>
      </c>
    </row>
    <row r="41" spans="10:16" ht="15">
      <c r="J41" s="26">
        <v>2002</v>
      </c>
      <c r="K41" s="27">
        <v>1.96</v>
      </c>
      <c r="N41" s="234" t="s">
        <v>77</v>
      </c>
      <c r="O41" s="238">
        <v>505.8113536114402</v>
      </c>
      <c r="P41" s="241">
        <v>-3169.839968241279</v>
      </c>
    </row>
    <row r="42" spans="10:16" ht="15">
      <c r="J42" s="26">
        <v>2003</v>
      </c>
      <c r="K42" s="27">
        <v>1.91</v>
      </c>
      <c r="N42" s="234" t="s">
        <v>78</v>
      </c>
      <c r="O42" s="238">
        <v>763.53745350904</v>
      </c>
      <c r="P42" s="241">
        <v>-2406.302514732239</v>
      </c>
    </row>
    <row r="43" spans="10:16" ht="15">
      <c r="J43" s="26">
        <v>2004</v>
      </c>
      <c r="K43" s="27">
        <v>1.03</v>
      </c>
      <c r="N43" s="234" t="s">
        <v>79</v>
      </c>
      <c r="O43" s="238">
        <v>1724.8558061270883</v>
      </c>
      <c r="P43" s="241">
        <v>-681.4467086051509</v>
      </c>
    </row>
    <row r="44" spans="10:16" ht="15">
      <c r="J44" s="26">
        <v>2005</v>
      </c>
      <c r="K44" s="27">
        <v>1.24</v>
      </c>
      <c r="N44" s="234" t="s">
        <v>80</v>
      </c>
      <c r="O44" s="238">
        <v>1724.8558061270883</v>
      </c>
      <c r="P44" s="241">
        <v>1043.4090975219374</v>
      </c>
    </row>
    <row r="45" spans="10:16" ht="15.75" thickBot="1">
      <c r="J45" s="26">
        <v>2006</v>
      </c>
      <c r="K45" s="27">
        <v>1.5</v>
      </c>
      <c r="N45" s="235" t="s">
        <v>81</v>
      </c>
      <c r="O45" s="243">
        <v>1727.433067126064</v>
      </c>
      <c r="P45" s="244">
        <v>2770.8421646480015</v>
      </c>
    </row>
    <row r="46" spans="10:11" ht="15">
      <c r="J46" s="26">
        <v>2007</v>
      </c>
      <c r="K46" s="27">
        <v>1.554</v>
      </c>
    </row>
    <row r="47" spans="10:11" ht="15">
      <c r="J47" s="26">
        <v>2008</v>
      </c>
      <c r="K47" s="27">
        <v>0.935</v>
      </c>
    </row>
  </sheetData>
  <sheetProtection/>
  <hyperlinks>
    <hyperlink ref="B3" r:id="rId1" display="http://www.indexmundi.com/es/ecuador/tasa_de_crecimiento.html"/>
    <hyperlink ref="C35" r:id="rId2" display="http://pages.ebay.es/paypal/como-vender.html"/>
    <hyperlink ref="C37" r:id="rId3" display="http://www.utpl.edu.ec/eva/descargas/material/140/AEMAAE3/G515806.pdf"/>
  </hyperlinks>
  <printOptions/>
  <pageMargins left="0.7" right="0.7" top="0.75" bottom="0.75" header="0.3" footer="0.3"/>
  <pageSetup horizontalDpi="600" verticalDpi="600" orientation="portrait" r:id="rId5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5">
      <selection activeCell="G16" sqref="G16"/>
    </sheetView>
  </sheetViews>
  <sheetFormatPr defaultColWidth="11.421875" defaultRowHeight="15"/>
  <cols>
    <col min="2" max="2" width="27.421875" style="0" customWidth="1"/>
    <col min="4" max="4" width="11.57421875" style="0" bestFit="1" customWidth="1"/>
    <col min="7" max="7" width="35.7109375" style="0" customWidth="1"/>
    <col min="9" max="9" width="13.28125" style="0" customWidth="1"/>
    <col min="16" max="16" width="12.140625" style="0" customWidth="1"/>
  </cols>
  <sheetData>
    <row r="1" spans="1:11" ht="36">
      <c r="A1" s="373" t="s">
        <v>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</row>
    <row r="2" ht="15.75" thickBot="1"/>
    <row r="3" spans="1:11" ht="21.75" thickBot="1">
      <c r="A3" s="367" t="s">
        <v>43</v>
      </c>
      <c r="B3" s="368"/>
      <c r="C3" s="368"/>
      <c r="D3" s="369"/>
      <c r="F3" s="370" t="s">
        <v>1</v>
      </c>
      <c r="G3" s="371"/>
      <c r="H3" s="371"/>
      <c r="I3" s="371"/>
      <c r="J3" s="371"/>
      <c r="K3" s="372"/>
    </row>
    <row r="4" spans="1:14" ht="21.75" thickBot="1">
      <c r="A4" s="15"/>
      <c r="B4" s="10"/>
      <c r="C4" s="56" t="s">
        <v>26</v>
      </c>
      <c r="D4" s="54" t="s">
        <v>25</v>
      </c>
      <c r="F4" s="12"/>
      <c r="G4" s="14"/>
      <c r="H4" s="21" t="s">
        <v>41</v>
      </c>
      <c r="I4" s="21" t="s">
        <v>42</v>
      </c>
      <c r="J4" s="21" t="s">
        <v>26</v>
      </c>
      <c r="K4" s="54" t="s">
        <v>25</v>
      </c>
      <c r="M4" s="4"/>
      <c r="N4" s="3"/>
    </row>
    <row r="5" spans="1:11" ht="15">
      <c r="A5" s="374" t="s">
        <v>2</v>
      </c>
      <c r="B5" s="375"/>
      <c r="C5" s="22"/>
      <c r="D5" s="78">
        <f>SUM(C6:C10)</f>
        <v>760</v>
      </c>
      <c r="F5" s="83" t="s">
        <v>39</v>
      </c>
      <c r="G5" s="16"/>
      <c r="H5" s="22">
        <v>3</v>
      </c>
      <c r="I5" s="22">
        <v>190</v>
      </c>
      <c r="J5" s="22">
        <f>I5*H5</f>
        <v>570</v>
      </c>
      <c r="K5" s="16">
        <f>J5</f>
        <v>570</v>
      </c>
    </row>
    <row r="6" spans="1:11" ht="15">
      <c r="A6" s="15"/>
      <c r="B6" s="10" t="s">
        <v>3</v>
      </c>
      <c r="C6" s="23">
        <v>200</v>
      </c>
      <c r="D6" s="16"/>
      <c r="F6" s="83" t="s">
        <v>14</v>
      </c>
      <c r="G6" s="16"/>
      <c r="H6" s="23">
        <v>2</v>
      </c>
      <c r="I6" s="23">
        <v>1200</v>
      </c>
      <c r="J6" s="23">
        <f>I6*H6</f>
        <v>2400</v>
      </c>
      <c r="K6" s="16">
        <f>J6</f>
        <v>2400</v>
      </c>
    </row>
    <row r="7" spans="1:11" ht="15">
      <c r="A7" s="15"/>
      <c r="B7" s="10" t="s">
        <v>4</v>
      </c>
      <c r="C7" s="23">
        <v>200</v>
      </c>
      <c r="D7" s="16"/>
      <c r="F7" s="82" t="s">
        <v>15</v>
      </c>
      <c r="G7" s="81"/>
      <c r="H7" s="23">
        <v>1</v>
      </c>
      <c r="I7" s="23">
        <v>700</v>
      </c>
      <c r="J7" s="23">
        <f>I7*H7</f>
        <v>700</v>
      </c>
      <c r="K7" s="16">
        <f>J7</f>
        <v>700</v>
      </c>
    </row>
    <row r="8" spans="1:11" ht="15">
      <c r="A8" s="15"/>
      <c r="B8" s="79" t="s">
        <v>5</v>
      </c>
      <c r="C8" s="23">
        <v>150</v>
      </c>
      <c r="D8" s="16"/>
      <c r="F8" s="15"/>
      <c r="G8" s="16" t="s">
        <v>105</v>
      </c>
      <c r="H8" s="23">
        <v>2</v>
      </c>
      <c r="I8" s="23"/>
      <c r="J8" s="23"/>
      <c r="K8" s="16"/>
    </row>
    <row r="9" spans="1:11" ht="15">
      <c r="A9" s="15"/>
      <c r="B9" s="79" t="s">
        <v>6</v>
      </c>
      <c r="C9" s="23">
        <v>62</v>
      </c>
      <c r="D9" s="16"/>
      <c r="F9" s="15"/>
      <c r="G9" s="16" t="s">
        <v>107</v>
      </c>
      <c r="H9" s="23">
        <v>2</v>
      </c>
      <c r="I9" s="23"/>
      <c r="J9" s="23"/>
      <c r="K9" s="16"/>
    </row>
    <row r="10" spans="1:11" ht="15">
      <c r="A10" s="15"/>
      <c r="B10" s="79" t="s">
        <v>7</v>
      </c>
      <c r="C10" s="23">
        <v>148</v>
      </c>
      <c r="D10" s="16"/>
      <c r="F10" s="15"/>
      <c r="G10" s="16" t="s">
        <v>106</v>
      </c>
      <c r="H10" s="23">
        <v>2</v>
      </c>
      <c r="I10" s="23"/>
      <c r="J10" s="23"/>
      <c r="K10" s="16"/>
    </row>
    <row r="11" spans="1:11" ht="15">
      <c r="A11" s="374" t="s">
        <v>11</v>
      </c>
      <c r="B11" s="375"/>
      <c r="C11" s="23"/>
      <c r="D11" s="78">
        <f>+C12</f>
        <v>250</v>
      </c>
      <c r="F11" s="82" t="s">
        <v>16</v>
      </c>
      <c r="G11" s="16"/>
      <c r="H11" s="23">
        <v>1</v>
      </c>
      <c r="I11" s="23">
        <v>56.41</v>
      </c>
      <c r="J11" s="23">
        <f>I11*H11</f>
        <v>56.41</v>
      </c>
      <c r="K11" s="16">
        <f>J11</f>
        <v>56.41</v>
      </c>
    </row>
    <row r="12" spans="1:11" ht="15">
      <c r="A12" s="15"/>
      <c r="B12" s="79" t="s">
        <v>58</v>
      </c>
      <c r="C12" s="23">
        <v>250</v>
      </c>
      <c r="D12" s="16"/>
      <c r="F12" s="83" t="s">
        <v>17</v>
      </c>
      <c r="G12" s="16"/>
      <c r="H12" s="23">
        <v>1</v>
      </c>
      <c r="I12" s="23">
        <v>49.99</v>
      </c>
      <c r="J12" s="23">
        <f>I12*H12</f>
        <v>49.99</v>
      </c>
      <c r="K12" s="16">
        <f>J12</f>
        <v>49.99</v>
      </c>
    </row>
    <row r="13" spans="1:11" ht="15">
      <c r="A13" s="15"/>
      <c r="B13" s="10"/>
      <c r="C13" s="23"/>
      <c r="D13" s="16"/>
      <c r="F13" s="82" t="s">
        <v>34</v>
      </c>
      <c r="G13" s="81"/>
      <c r="H13" s="23">
        <v>1</v>
      </c>
      <c r="I13" s="23">
        <v>467.99</v>
      </c>
      <c r="J13" s="23">
        <f>I13*H13</f>
        <v>467.99</v>
      </c>
      <c r="K13" s="16">
        <f>J13</f>
        <v>467.99</v>
      </c>
    </row>
    <row r="14" spans="1:11" ht="15">
      <c r="A14" s="374" t="s">
        <v>59</v>
      </c>
      <c r="B14" s="375"/>
      <c r="C14" s="23"/>
      <c r="D14" s="78">
        <f>+SUM(C15:C17)</f>
        <v>624.8</v>
      </c>
      <c r="F14" s="82" t="s">
        <v>24</v>
      </c>
      <c r="G14" s="81"/>
      <c r="H14" s="23">
        <v>2</v>
      </c>
      <c r="I14" s="23">
        <v>1200</v>
      </c>
      <c r="J14" s="23">
        <f>+I14*H14</f>
        <v>2400</v>
      </c>
      <c r="K14" s="16">
        <f>J14</f>
        <v>2400</v>
      </c>
    </row>
    <row r="15" spans="1:11" ht="15">
      <c r="A15" s="15"/>
      <c r="B15" s="10" t="s">
        <v>8</v>
      </c>
      <c r="C15" s="23">
        <v>150</v>
      </c>
      <c r="D15" s="16"/>
      <c r="F15" s="82" t="s">
        <v>18</v>
      </c>
      <c r="G15" s="81"/>
      <c r="H15" s="23"/>
      <c r="I15" s="23"/>
      <c r="J15" s="23"/>
      <c r="K15" s="16">
        <f>J16+J17</f>
        <v>2799.98</v>
      </c>
    </row>
    <row r="16" spans="1:11" ht="15">
      <c r="A16" s="15"/>
      <c r="B16" s="10" t="s">
        <v>9</v>
      </c>
      <c r="C16" s="23">
        <v>290</v>
      </c>
      <c r="D16" s="16"/>
      <c r="F16" s="15"/>
      <c r="G16" s="16">
        <v>5</v>
      </c>
      <c r="H16" s="23">
        <v>2</v>
      </c>
      <c r="I16" s="23">
        <v>599.99</v>
      </c>
      <c r="J16" s="23">
        <f>I16*H16</f>
        <v>1199.98</v>
      </c>
      <c r="K16" s="16"/>
    </row>
    <row r="17" spans="1:11" ht="15">
      <c r="A17" s="15"/>
      <c r="B17" s="10" t="s">
        <v>10</v>
      </c>
      <c r="C17" s="23">
        <v>184.8</v>
      </c>
      <c r="D17" s="16"/>
      <c r="F17" s="15"/>
      <c r="G17" s="16" t="s">
        <v>21</v>
      </c>
      <c r="H17" s="23">
        <v>2</v>
      </c>
      <c r="I17" s="23">
        <v>800</v>
      </c>
      <c r="J17" s="23">
        <f>I17*H17</f>
        <v>1600</v>
      </c>
      <c r="K17" s="16"/>
    </row>
    <row r="18" spans="1:11" ht="15">
      <c r="A18" s="15"/>
      <c r="B18" s="10"/>
      <c r="C18" s="23"/>
      <c r="D18" s="16"/>
      <c r="F18" s="82" t="s">
        <v>19</v>
      </c>
      <c r="G18" s="81"/>
      <c r="H18" s="80"/>
      <c r="I18" s="23"/>
      <c r="J18" s="23"/>
      <c r="K18" s="16">
        <f>SUM(J19:J20)</f>
        <v>288.98</v>
      </c>
    </row>
    <row r="19" spans="1:11" ht="15">
      <c r="A19" s="374" t="s">
        <v>12</v>
      </c>
      <c r="B19" s="375"/>
      <c r="C19" s="23"/>
      <c r="D19" s="78">
        <f>+SUM(C20:C21)</f>
        <v>600</v>
      </c>
      <c r="F19" s="15"/>
      <c r="G19" s="16" t="s">
        <v>20</v>
      </c>
      <c r="H19" s="23">
        <v>2</v>
      </c>
      <c r="I19" s="23">
        <v>71.99</v>
      </c>
      <c r="J19" s="23">
        <f>I19*H19</f>
        <v>143.98</v>
      </c>
      <c r="K19" s="16"/>
    </row>
    <row r="20" spans="1:11" ht="15">
      <c r="A20" s="15"/>
      <c r="B20" s="10" t="s">
        <v>13</v>
      </c>
      <c r="C20" s="23">
        <v>300</v>
      </c>
      <c r="D20" s="16"/>
      <c r="F20" s="15"/>
      <c r="G20" s="16" t="s">
        <v>108</v>
      </c>
      <c r="H20" s="23">
        <v>2</v>
      </c>
      <c r="I20" s="23">
        <v>72.5</v>
      </c>
      <c r="J20" s="23">
        <f>I20*H20</f>
        <v>145</v>
      </c>
      <c r="K20" s="16"/>
    </row>
    <row r="21" spans="1:11" ht="15.75" thickBot="1">
      <c r="A21" s="17"/>
      <c r="B21" s="18" t="s">
        <v>184</v>
      </c>
      <c r="C21" s="24">
        <v>300</v>
      </c>
      <c r="D21" s="19"/>
      <c r="F21" s="82" t="s">
        <v>22</v>
      </c>
      <c r="G21" s="81"/>
      <c r="H21" s="23"/>
      <c r="I21" s="23"/>
      <c r="J21" s="23"/>
      <c r="K21" s="16"/>
    </row>
    <row r="22" spans="6:11" ht="15.75" thickBot="1">
      <c r="F22" s="17"/>
      <c r="G22" s="19" t="s">
        <v>23</v>
      </c>
      <c r="H22" s="24">
        <v>2</v>
      </c>
      <c r="I22" s="24">
        <v>421.85</v>
      </c>
      <c r="J22" s="24">
        <f>I22*H22</f>
        <v>843.7</v>
      </c>
      <c r="K22" s="19">
        <f>J22</f>
        <v>843.7</v>
      </c>
    </row>
    <row r="23" ht="15.75" thickBot="1">
      <c r="D23" s="57">
        <f>+D5+D11+D14+D19</f>
        <v>2234.8</v>
      </c>
    </row>
    <row r="24" ht="15.75" thickBot="1">
      <c r="K24" s="57">
        <f>SUM(J5:J22)</f>
        <v>10577.05</v>
      </c>
    </row>
    <row r="25" ht="15.75" thickBot="1"/>
    <row r="26" spans="5:7" ht="15.75" thickBot="1">
      <c r="E26" s="376" t="s">
        <v>111</v>
      </c>
      <c r="F26" s="377"/>
      <c r="G26" s="378"/>
    </row>
    <row r="27" spans="5:7" ht="15">
      <c r="E27" s="12" t="s">
        <v>109</v>
      </c>
      <c r="F27" s="13"/>
      <c r="G27" s="14">
        <f>D23</f>
        <v>2234.8</v>
      </c>
    </row>
    <row r="28" spans="5:7" ht="15">
      <c r="E28" s="15" t="s">
        <v>0</v>
      </c>
      <c r="F28" s="10"/>
      <c r="G28" s="16">
        <f>K24</f>
        <v>10577.05</v>
      </c>
    </row>
    <row r="29" spans="5:7" ht="15.75" thickBot="1">
      <c r="E29" s="17" t="s">
        <v>110</v>
      </c>
      <c r="F29" s="18"/>
      <c r="G29" s="30">
        <f>-'Capital de Trabajo'!H25</f>
        <v>3923.7365755665596</v>
      </c>
    </row>
    <row r="30" ht="15.75" thickBot="1"/>
    <row r="31" spans="5:7" ht="15.75" thickBot="1">
      <c r="E31" s="365" t="s">
        <v>193</v>
      </c>
      <c r="F31" s="366"/>
      <c r="G31" s="57">
        <f>SUM(G27:G30)</f>
        <v>16735.586575566558</v>
      </c>
    </row>
    <row r="34" ht="15">
      <c r="H34" s="10"/>
    </row>
    <row r="35" ht="15.75" thickBot="1">
      <c r="H35" s="174"/>
    </row>
    <row r="36" ht="15">
      <c r="H36" s="173"/>
    </row>
    <row r="37" ht="15">
      <c r="H37" s="173"/>
    </row>
    <row r="38" ht="15">
      <c r="H38" s="173"/>
    </row>
    <row r="39" ht="15">
      <c r="H39" s="175"/>
    </row>
  </sheetData>
  <sheetProtection/>
  <mergeCells count="9">
    <mergeCell ref="E31:F31"/>
    <mergeCell ref="A3:D3"/>
    <mergeCell ref="F3:K3"/>
    <mergeCell ref="A1:K1"/>
    <mergeCell ref="A11:B11"/>
    <mergeCell ref="E26:G26"/>
    <mergeCell ref="A19:B19"/>
    <mergeCell ref="A14:B14"/>
    <mergeCell ref="A5:B5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E14" sqref="C14:E14"/>
    </sheetView>
  </sheetViews>
  <sheetFormatPr defaultColWidth="11.421875" defaultRowHeight="15"/>
  <cols>
    <col min="1" max="1" width="28.00390625" style="0" customWidth="1"/>
    <col min="2" max="2" width="15.140625" style="0" customWidth="1"/>
    <col min="3" max="3" width="16.7109375" style="0" customWidth="1"/>
    <col min="4" max="4" width="16.00390625" style="0" customWidth="1"/>
    <col min="5" max="7" width="16.421875" style="0" customWidth="1"/>
    <col min="8" max="8" width="15.140625" style="0" customWidth="1"/>
    <col min="9" max="9" width="13.57421875" style="0" customWidth="1"/>
    <col min="10" max="10" width="14.57421875" style="0" customWidth="1"/>
    <col min="11" max="11" width="13.8515625" style="0" customWidth="1"/>
    <col min="12" max="12" width="13.57421875" style="0" customWidth="1"/>
  </cols>
  <sheetData>
    <row r="1" spans="1:7" ht="16.5" thickBot="1">
      <c r="A1" s="379" t="s">
        <v>112</v>
      </c>
      <c r="B1" s="380"/>
      <c r="C1" s="381"/>
      <c r="D1" s="34"/>
      <c r="E1" s="34"/>
      <c r="F1" s="34"/>
      <c r="G1" s="34"/>
    </row>
    <row r="2" spans="1:7" ht="15.75">
      <c r="A2" s="91" t="s">
        <v>113</v>
      </c>
      <c r="B2" s="122">
        <v>0.8</v>
      </c>
      <c r="C2" s="35"/>
      <c r="D2" s="36"/>
      <c r="E2" s="36" t="s">
        <v>114</v>
      </c>
      <c r="F2" s="36"/>
      <c r="G2" s="34"/>
    </row>
    <row r="3" spans="1:7" ht="15.75">
      <c r="A3" s="90" t="s">
        <v>115</v>
      </c>
      <c r="B3" s="123">
        <v>10</v>
      </c>
      <c r="C3" s="37" t="s">
        <v>47</v>
      </c>
      <c r="D3" s="36"/>
      <c r="E3" s="36"/>
      <c r="F3" s="36"/>
      <c r="G3" s="34"/>
    </row>
    <row r="4" spans="1:7" ht="15.75">
      <c r="A4" s="90" t="s">
        <v>116</v>
      </c>
      <c r="B4" s="124">
        <v>0.112</v>
      </c>
      <c r="C4" s="37" t="s">
        <v>117</v>
      </c>
      <c r="D4" s="36"/>
      <c r="E4" s="36"/>
      <c r="F4" s="36"/>
      <c r="G4" s="34"/>
    </row>
    <row r="5" spans="1:7" ht="15.75">
      <c r="A5" s="36"/>
      <c r="B5" s="36"/>
      <c r="C5" s="36"/>
      <c r="D5" s="36"/>
      <c r="E5" s="36"/>
      <c r="F5" s="36"/>
      <c r="G5" s="36"/>
    </row>
    <row r="6" spans="1:12" ht="15.75">
      <c r="A6" s="38" t="s">
        <v>47</v>
      </c>
      <c r="B6" s="39">
        <v>0</v>
      </c>
      <c r="C6" s="39">
        <v>1</v>
      </c>
      <c r="D6" s="39">
        <v>2</v>
      </c>
      <c r="E6" s="39">
        <v>3</v>
      </c>
      <c r="F6" s="39">
        <v>4</v>
      </c>
      <c r="G6" s="39">
        <v>5</v>
      </c>
      <c r="H6" s="50">
        <v>6</v>
      </c>
      <c r="I6" s="50">
        <v>7</v>
      </c>
      <c r="J6" s="50">
        <v>8</v>
      </c>
      <c r="K6" s="50">
        <v>9</v>
      </c>
      <c r="L6" s="50">
        <v>10</v>
      </c>
    </row>
    <row r="7" spans="1:12" ht="15.75">
      <c r="A7" s="90" t="s">
        <v>118</v>
      </c>
      <c r="B7" s="125"/>
      <c r="C7" s="126">
        <f>-PMT($B$4,$L$6,$B$10)</f>
        <v>2292.480378588647</v>
      </c>
      <c r="D7" s="126">
        <f aca="true" t="shared" si="0" ref="D7:L7">-PMT($B$4,$L$6,$B$10)</f>
        <v>2292.480378588647</v>
      </c>
      <c r="E7" s="126">
        <f t="shared" si="0"/>
        <v>2292.480378588647</v>
      </c>
      <c r="F7" s="126">
        <f t="shared" si="0"/>
        <v>2292.480378588647</v>
      </c>
      <c r="G7" s="126">
        <f t="shared" si="0"/>
        <v>2292.480378588647</v>
      </c>
      <c r="H7" s="126">
        <f t="shared" si="0"/>
        <v>2292.480378588647</v>
      </c>
      <c r="I7" s="126">
        <f t="shared" si="0"/>
        <v>2292.480378588647</v>
      </c>
      <c r="J7" s="126">
        <f t="shared" si="0"/>
        <v>2292.480378588647</v>
      </c>
      <c r="K7" s="126">
        <f t="shared" si="0"/>
        <v>2292.480378588647</v>
      </c>
      <c r="L7" s="126">
        <f t="shared" si="0"/>
        <v>2292.480378588647</v>
      </c>
    </row>
    <row r="8" spans="1:12" ht="15.75">
      <c r="A8" s="90" t="s">
        <v>119</v>
      </c>
      <c r="B8" s="125"/>
      <c r="C8" s="126">
        <f>-PPMT($B$4,C6,$L$6,$B$10)</f>
        <v>792.9718214178833</v>
      </c>
      <c r="D8" s="126">
        <f aca="true" t="shared" si="1" ref="D8:L8">-PPMT($B$4,D6,$L$6,$B$10)</f>
        <v>881.7846654166865</v>
      </c>
      <c r="E8" s="126">
        <f t="shared" si="1"/>
        <v>980.5445479433554</v>
      </c>
      <c r="F8" s="126">
        <f t="shared" si="1"/>
        <v>1090.3655373130114</v>
      </c>
      <c r="G8" s="126">
        <f t="shared" si="1"/>
        <v>1212.4864774920684</v>
      </c>
      <c r="H8" s="126">
        <f t="shared" si="1"/>
        <v>1348.2849629711804</v>
      </c>
      <c r="I8" s="126">
        <f t="shared" si="1"/>
        <v>1499.292878823953</v>
      </c>
      <c r="J8" s="126">
        <f t="shared" si="1"/>
        <v>1667.2136812522365</v>
      </c>
      <c r="K8" s="126">
        <f t="shared" si="1"/>
        <v>1853.9416135524866</v>
      </c>
      <c r="L8" s="126">
        <f t="shared" si="1"/>
        <v>2061.5830742703656</v>
      </c>
    </row>
    <row r="9" spans="1:12" ht="15.75">
      <c r="A9" s="90" t="s">
        <v>120</v>
      </c>
      <c r="B9" s="125"/>
      <c r="C9" s="126">
        <f>-IPMT($B$4,C6,$L$6,$B$10)</f>
        <v>1499.5085571707637</v>
      </c>
      <c r="D9" s="126">
        <f aca="true" t="shared" si="2" ref="D9:L9">-IPMT($B$4,D6,$L$6,$B$10)</f>
        <v>1410.6957131719605</v>
      </c>
      <c r="E9" s="126">
        <f t="shared" si="2"/>
        <v>1311.9358306452916</v>
      </c>
      <c r="F9" s="126">
        <f t="shared" si="2"/>
        <v>1202.1148412756356</v>
      </c>
      <c r="G9" s="126">
        <f t="shared" si="2"/>
        <v>1079.9939010965786</v>
      </c>
      <c r="H9" s="126">
        <f t="shared" si="2"/>
        <v>944.1954156174664</v>
      </c>
      <c r="I9" s="126">
        <f t="shared" si="2"/>
        <v>793.1874997646939</v>
      </c>
      <c r="J9" s="126">
        <f t="shared" si="2"/>
        <v>625.2666973364105</v>
      </c>
      <c r="K9" s="126">
        <f t="shared" si="2"/>
        <v>438.53876503616044</v>
      </c>
      <c r="L9" s="126">
        <f t="shared" si="2"/>
        <v>230.89730431828136</v>
      </c>
    </row>
    <row r="10" spans="1:12" ht="15.75">
      <c r="A10" s="90" t="s">
        <v>121</v>
      </c>
      <c r="B10" s="125">
        <f>'Inversion Total'!G31*$B$2</f>
        <v>13388.469260453247</v>
      </c>
      <c r="C10" s="125">
        <f>B10-C8</f>
        <v>12595.497439035364</v>
      </c>
      <c r="D10" s="125">
        <f>C10-D8</f>
        <v>11713.712773618678</v>
      </c>
      <c r="E10" s="125">
        <f aca="true" t="shared" si="3" ref="E10:L10">D10-E8</f>
        <v>10733.168225675323</v>
      </c>
      <c r="F10" s="125">
        <f t="shared" si="3"/>
        <v>9642.802688362312</v>
      </c>
      <c r="G10" s="125">
        <f t="shared" si="3"/>
        <v>8430.316210870244</v>
      </c>
      <c r="H10" s="125">
        <f t="shared" si="3"/>
        <v>7082.031247899064</v>
      </c>
      <c r="I10" s="125">
        <f t="shared" si="3"/>
        <v>5582.73836907511</v>
      </c>
      <c r="J10" s="125">
        <f t="shared" si="3"/>
        <v>3915.5246878228736</v>
      </c>
      <c r="K10" s="125">
        <f t="shared" si="3"/>
        <v>2061.583074270387</v>
      </c>
      <c r="L10" s="125">
        <f t="shared" si="3"/>
        <v>2.1373125491663814E-11</v>
      </c>
    </row>
    <row r="13" ht="15">
      <c r="C13" s="148" t="s">
        <v>211</v>
      </c>
    </row>
    <row r="14" ht="15">
      <c r="C14" s="8" t="s">
        <v>208</v>
      </c>
    </row>
  </sheetData>
  <sheetProtection/>
  <mergeCells count="1">
    <mergeCell ref="A1:C1"/>
  </mergeCells>
  <hyperlinks>
    <hyperlink ref="C14" r:id="rId1" display="http://www.bnf.fin.ec/index.php?s=9&amp;a=72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G24" sqref="G24"/>
    </sheetView>
  </sheetViews>
  <sheetFormatPr defaultColWidth="11.421875" defaultRowHeight="15"/>
  <cols>
    <col min="1" max="1" width="23.140625" style="0" customWidth="1"/>
    <col min="2" max="2" width="13.421875" style="0" bestFit="1" customWidth="1"/>
    <col min="3" max="3" width="11.57421875" style="0" bestFit="1" customWidth="1"/>
    <col min="5" max="5" width="15.28125" style="0" customWidth="1"/>
    <col min="6" max="6" width="13.421875" style="0" bestFit="1" customWidth="1"/>
  </cols>
  <sheetData>
    <row r="1" spans="1:6" ht="16.5" thickBot="1">
      <c r="A1" s="382" t="s">
        <v>122</v>
      </c>
      <c r="B1" s="383"/>
      <c r="C1" s="383"/>
      <c r="D1" s="383"/>
      <c r="E1" s="383"/>
      <c r="F1" s="384"/>
    </row>
    <row r="2" spans="1:6" ht="79.5" thickBot="1">
      <c r="A2" s="129"/>
      <c r="B2" s="130" t="s">
        <v>123</v>
      </c>
      <c r="C2" s="131" t="s">
        <v>124</v>
      </c>
      <c r="D2" s="131" t="s">
        <v>125</v>
      </c>
      <c r="E2" s="132" t="s">
        <v>126</v>
      </c>
      <c r="F2" s="133" t="s">
        <v>127</v>
      </c>
    </row>
    <row r="3" spans="1:6" ht="15.75">
      <c r="A3" s="134" t="s">
        <v>148</v>
      </c>
      <c r="B3" s="135">
        <f>'Inversion Total'!K18</f>
        <v>288.98</v>
      </c>
      <c r="C3" s="135">
        <f>+B3*0.1</f>
        <v>28.898000000000003</v>
      </c>
      <c r="D3" s="136">
        <v>3</v>
      </c>
      <c r="E3" s="135">
        <f>(B3-C3)/D3</f>
        <v>86.694</v>
      </c>
      <c r="F3" s="137">
        <f>+C3</f>
        <v>28.898000000000003</v>
      </c>
    </row>
    <row r="4" spans="1:6" ht="15.75">
      <c r="A4" s="138" t="s">
        <v>128</v>
      </c>
      <c r="B4" s="120">
        <v>700</v>
      </c>
      <c r="C4" s="120">
        <f aca="true" t="shared" si="0" ref="C4:C10">+B4*0.1</f>
        <v>70</v>
      </c>
      <c r="D4" s="121">
        <v>10</v>
      </c>
      <c r="E4" s="120">
        <f>(B4-C4)/D4</f>
        <v>63</v>
      </c>
      <c r="F4" s="139">
        <f aca="true" t="shared" si="1" ref="F4:F10">B4-C4</f>
        <v>630</v>
      </c>
    </row>
    <row r="5" spans="1:6" ht="15.75">
      <c r="A5" s="138" t="s">
        <v>129</v>
      </c>
      <c r="B5" s="120">
        <v>1200</v>
      </c>
      <c r="C5" s="120">
        <f t="shared" si="0"/>
        <v>120</v>
      </c>
      <c r="D5" s="121">
        <v>3</v>
      </c>
      <c r="E5" s="120">
        <f aca="true" t="shared" si="2" ref="E5:E10">(B5-C5)/D5</f>
        <v>360</v>
      </c>
      <c r="F5" s="139">
        <f t="shared" si="1"/>
        <v>1080</v>
      </c>
    </row>
    <row r="6" spans="1:6" ht="15.75">
      <c r="A6" s="138" t="s">
        <v>14</v>
      </c>
      <c r="B6" s="120">
        <f>'Inversion Total'!J6</f>
        <v>2400</v>
      </c>
      <c r="C6" s="120">
        <f t="shared" si="0"/>
        <v>240</v>
      </c>
      <c r="D6" s="121">
        <v>5</v>
      </c>
      <c r="E6" s="120">
        <f t="shared" si="2"/>
        <v>432</v>
      </c>
      <c r="F6" s="139">
        <f t="shared" si="1"/>
        <v>2160</v>
      </c>
    </row>
    <row r="7" spans="1:6" ht="15.75">
      <c r="A7" s="138" t="s">
        <v>34</v>
      </c>
      <c r="B7" s="120">
        <v>467</v>
      </c>
      <c r="C7" s="120">
        <f t="shared" si="0"/>
        <v>46.7</v>
      </c>
      <c r="D7" s="121">
        <v>10</v>
      </c>
      <c r="E7" s="120">
        <f t="shared" si="2"/>
        <v>42.03</v>
      </c>
      <c r="F7" s="139">
        <f t="shared" si="1"/>
        <v>420.3</v>
      </c>
    </row>
    <row r="8" spans="1:6" ht="15.75">
      <c r="A8" s="138" t="s">
        <v>147</v>
      </c>
      <c r="B8" s="120">
        <f>'Inversion Total'!K15</f>
        <v>2799.98</v>
      </c>
      <c r="C8" s="120">
        <f t="shared" si="0"/>
        <v>279.998</v>
      </c>
      <c r="D8" s="121">
        <v>3</v>
      </c>
      <c r="E8" s="120">
        <f t="shared" si="2"/>
        <v>839.994</v>
      </c>
      <c r="F8" s="139">
        <f t="shared" si="1"/>
        <v>2519.982</v>
      </c>
    </row>
    <row r="9" spans="1:6" ht="15.75">
      <c r="A9" s="138" t="s">
        <v>149</v>
      </c>
      <c r="B9" s="120">
        <f>'Inversion Total'!J22</f>
        <v>843.7</v>
      </c>
      <c r="C9" s="120">
        <f t="shared" si="0"/>
        <v>84.37</v>
      </c>
      <c r="D9" s="121">
        <v>3</v>
      </c>
      <c r="E9" s="120">
        <f t="shared" si="2"/>
        <v>253.11</v>
      </c>
      <c r="F9" s="139">
        <f>B9-C9</f>
        <v>759.33</v>
      </c>
    </row>
    <row r="10" spans="1:6" ht="16.5" thickBot="1">
      <c r="A10" s="140" t="s">
        <v>39</v>
      </c>
      <c r="B10" s="141">
        <f>'Inversion Total'!J5</f>
        <v>570</v>
      </c>
      <c r="C10" s="141">
        <f t="shared" si="0"/>
        <v>57</v>
      </c>
      <c r="D10" s="142">
        <v>3</v>
      </c>
      <c r="E10" s="141">
        <f t="shared" si="2"/>
        <v>171</v>
      </c>
      <c r="F10" s="143">
        <f t="shared" si="1"/>
        <v>513</v>
      </c>
    </row>
    <row r="11" ht="15.75" thickBot="1"/>
    <row r="12" spans="5:6" ht="15.75" thickBot="1">
      <c r="E12" s="144">
        <f>E3+E5+E8+E9+E10</f>
        <v>1710.7980000000002</v>
      </c>
      <c r="F12" s="45">
        <f>F3+F5+F8+F9+F10</f>
        <v>4901.21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2">
      <selection activeCell="C26" sqref="C26:D35"/>
    </sheetView>
  </sheetViews>
  <sheetFormatPr defaultColWidth="11.421875" defaultRowHeight="15"/>
  <cols>
    <col min="1" max="1" width="45.7109375" style="0" bestFit="1" customWidth="1"/>
    <col min="2" max="3" width="13.00390625" style="0" bestFit="1" customWidth="1"/>
    <col min="4" max="12" width="12.00390625" style="0" bestFit="1" customWidth="1"/>
  </cols>
  <sheetData>
    <row r="1" spans="1:12" ht="15">
      <c r="A1" s="385" t="s">
        <v>150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7"/>
    </row>
    <row r="2" spans="1:12" ht="15.75" thickBot="1">
      <c r="A2" s="388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90"/>
    </row>
    <row r="3" spans="1:12" ht="15.75" thickBot="1">
      <c r="A3" s="357" t="s">
        <v>47</v>
      </c>
      <c r="B3" s="358">
        <v>0</v>
      </c>
      <c r="C3" s="98">
        <v>1</v>
      </c>
      <c r="D3" s="98">
        <v>2</v>
      </c>
      <c r="E3" s="98">
        <v>3</v>
      </c>
      <c r="F3" s="98">
        <v>4</v>
      </c>
      <c r="G3" s="98">
        <v>5</v>
      </c>
      <c r="H3" s="98">
        <v>6</v>
      </c>
      <c r="I3" s="98">
        <v>7</v>
      </c>
      <c r="J3" s="98">
        <v>8</v>
      </c>
      <c r="K3" s="98">
        <v>9</v>
      </c>
      <c r="L3" s="99">
        <v>10</v>
      </c>
    </row>
    <row r="4" spans="1:12" ht="15">
      <c r="A4" s="88" t="s">
        <v>131</v>
      </c>
      <c r="B4" s="40"/>
      <c r="C4" s="92">
        <f>Ingresos!I14</f>
        <v>29395.011351999998</v>
      </c>
      <c r="D4" s="92">
        <f>C4+(1+'Capital de Trabajo'!$L$3)</f>
        <v>29396.020701999998</v>
      </c>
      <c r="E4" s="92">
        <f>D4+(1+'Capital de Trabajo'!$L$3)</f>
        <v>29397.030052</v>
      </c>
      <c r="F4" s="92">
        <f>E4+(1+'Capital de Trabajo'!$L$3)</f>
        <v>29398.039402</v>
      </c>
      <c r="G4" s="92">
        <f>F4+(1+'Capital de Trabajo'!$L$3)</f>
        <v>29399.048752</v>
      </c>
      <c r="H4" s="92">
        <f>G4+(1+'Capital de Trabajo'!$L$3)</f>
        <v>29400.058102</v>
      </c>
      <c r="I4" s="92">
        <f>H4+(1+'Capital de Trabajo'!$L$3)</f>
        <v>29401.067452</v>
      </c>
      <c r="J4" s="92">
        <f>I4+(1+'Capital de Trabajo'!$L$3)</f>
        <v>29402.076802</v>
      </c>
      <c r="K4" s="92">
        <f>J4+(1+'Capital de Trabajo'!$L$3)</f>
        <v>29403.086152</v>
      </c>
      <c r="L4" s="95">
        <f>K4+(1+'Capital de Trabajo'!$L$3)</f>
        <v>29404.095502</v>
      </c>
    </row>
    <row r="5" spans="1:12" ht="15">
      <c r="A5" s="88" t="s">
        <v>152</v>
      </c>
      <c r="B5" s="41"/>
      <c r="C5" s="93">
        <f>costos!I12</f>
        <v>1140</v>
      </c>
      <c r="D5" s="93">
        <f>C5*(1+'Capital de Trabajo'!$L$3)</f>
        <v>1150.6589999999999</v>
      </c>
      <c r="E5" s="93">
        <f>D5*(1+'Capital de Trabajo'!$L$3)</f>
        <v>1161.41766165</v>
      </c>
      <c r="F5" s="93">
        <f>E5*(1+'Capital de Trabajo'!$L$3)</f>
        <v>1172.2769167864274</v>
      </c>
      <c r="G5" s="93">
        <f>F5*(1+'Capital de Trabajo'!$L$3)</f>
        <v>1183.2377059583805</v>
      </c>
      <c r="H5" s="93">
        <f>G5*(1+'Capital de Trabajo'!$L$3)</f>
        <v>1194.3009785090912</v>
      </c>
      <c r="I5" s="93">
        <f>H5*(1+'Capital de Trabajo'!$L$3)</f>
        <v>1205.4676926581512</v>
      </c>
      <c r="J5" s="93">
        <f>I5*(1+'Capital de Trabajo'!$L$3)</f>
        <v>1216.738815584505</v>
      </c>
      <c r="K5" s="93">
        <f>J5*(1+'Capital de Trabajo'!$L$3)</f>
        <v>1228.11532351022</v>
      </c>
      <c r="L5" s="96">
        <f>K5*(1+'Capital de Trabajo'!$L$3)</f>
        <v>1239.5982017850404</v>
      </c>
    </row>
    <row r="6" spans="1:12" ht="15">
      <c r="A6" s="88" t="s">
        <v>153</v>
      </c>
      <c r="B6" s="41"/>
      <c r="C6" s="93">
        <f>costos!$C$10</f>
        <v>1548</v>
      </c>
      <c r="D6" s="93">
        <f>costos!$C$10</f>
        <v>1548</v>
      </c>
      <c r="E6" s="93">
        <f>costos!$C$10</f>
        <v>1548</v>
      </c>
      <c r="F6" s="93">
        <f>costos!$C$10</f>
        <v>1548</v>
      </c>
      <c r="G6" s="93">
        <f>costos!$C$10</f>
        <v>1548</v>
      </c>
      <c r="H6" s="93">
        <f>costos!$C$10</f>
        <v>1548</v>
      </c>
      <c r="I6" s="93">
        <f>costos!$C$10</f>
        <v>1548</v>
      </c>
      <c r="J6" s="93">
        <f>costos!$C$10</f>
        <v>1548</v>
      </c>
      <c r="K6" s="93">
        <f>costos!$C$10</f>
        <v>1548</v>
      </c>
      <c r="L6" s="96">
        <f>costos!$C$10</f>
        <v>1548</v>
      </c>
    </row>
    <row r="7" spans="1:12" ht="15">
      <c r="A7" s="88" t="s">
        <v>132</v>
      </c>
      <c r="B7" s="41"/>
      <c r="C7" s="93">
        <f>costos!$C$6</f>
        <v>15696</v>
      </c>
      <c r="D7" s="93">
        <f>costos!$C$6</f>
        <v>15696</v>
      </c>
      <c r="E7" s="93">
        <f>costos!$C$6</f>
        <v>15696</v>
      </c>
      <c r="F7" s="93">
        <f>costos!$C$6</f>
        <v>15696</v>
      </c>
      <c r="G7" s="93">
        <f>costos!$C$6</f>
        <v>15696</v>
      </c>
      <c r="H7" s="93">
        <f>costos!$C$6</f>
        <v>15696</v>
      </c>
      <c r="I7" s="93">
        <f>costos!$C$6</f>
        <v>15696</v>
      </c>
      <c r="J7" s="93">
        <f>costos!$C$6</f>
        <v>15696</v>
      </c>
      <c r="K7" s="93">
        <f>costos!$C$6</f>
        <v>15696</v>
      </c>
      <c r="L7" s="96">
        <f>costos!$C$6</f>
        <v>15696</v>
      </c>
    </row>
    <row r="8" spans="1:12" ht="15">
      <c r="A8" s="88" t="s">
        <v>133</v>
      </c>
      <c r="B8" s="41"/>
      <c r="C8" s="93">
        <f>costos!$C$5</f>
        <v>3600</v>
      </c>
      <c r="D8" s="93">
        <f>costos!$C$5</f>
        <v>3600</v>
      </c>
      <c r="E8" s="93">
        <f>costos!$C$5</f>
        <v>3600</v>
      </c>
      <c r="F8" s="93">
        <f>costos!$C$5</f>
        <v>3600</v>
      </c>
      <c r="G8" s="93">
        <f>costos!$C$5</f>
        <v>3600</v>
      </c>
      <c r="H8" s="93">
        <f>costos!$C$5</f>
        <v>3600</v>
      </c>
      <c r="I8" s="93">
        <f>costos!$C$5</f>
        <v>3600</v>
      </c>
      <c r="J8" s="93">
        <f>costos!$C$5</f>
        <v>3600</v>
      </c>
      <c r="K8" s="93">
        <f>costos!$C$5</f>
        <v>3600</v>
      </c>
      <c r="L8" s="96">
        <f>costos!$C$5</f>
        <v>3600</v>
      </c>
    </row>
    <row r="9" spans="1:12" ht="15">
      <c r="A9" s="88" t="s">
        <v>134</v>
      </c>
      <c r="B9" s="41"/>
      <c r="C9" s="93">
        <f>costos!$D$9</f>
        <v>672</v>
      </c>
      <c r="D9" s="93">
        <f>costos!$D$9</f>
        <v>672</v>
      </c>
      <c r="E9" s="93">
        <f>costos!$D$9</f>
        <v>672</v>
      </c>
      <c r="F9" s="93">
        <f>costos!$D$9</f>
        <v>672</v>
      </c>
      <c r="G9" s="93">
        <f>costos!$D$9</f>
        <v>672</v>
      </c>
      <c r="H9" s="93">
        <f>costos!$D$9</f>
        <v>672</v>
      </c>
      <c r="I9" s="93">
        <f>costos!$D$9</f>
        <v>672</v>
      </c>
      <c r="J9" s="93">
        <f>costos!$D$9</f>
        <v>672</v>
      </c>
      <c r="K9" s="93">
        <f>costos!$D$9</f>
        <v>672</v>
      </c>
      <c r="L9" s="96">
        <f>costos!$D$9</f>
        <v>672</v>
      </c>
    </row>
    <row r="10" spans="1:14" ht="15">
      <c r="A10" s="88" t="s">
        <v>155</v>
      </c>
      <c r="B10" s="41"/>
      <c r="C10" s="93">
        <f>costos!$C$11</f>
        <v>1080</v>
      </c>
      <c r="D10" s="93">
        <f>costos!$C$11</f>
        <v>1080</v>
      </c>
      <c r="E10" s="93">
        <f>costos!$C$11</f>
        <v>1080</v>
      </c>
      <c r="F10" s="93">
        <f>costos!$C$11</f>
        <v>1080</v>
      </c>
      <c r="G10" s="93">
        <f>costos!$C$11</f>
        <v>1080</v>
      </c>
      <c r="H10" s="93">
        <f>costos!$C$11</f>
        <v>1080</v>
      </c>
      <c r="I10" s="93">
        <f>costos!$C$11</f>
        <v>1080</v>
      </c>
      <c r="J10" s="93">
        <f>costos!$C$11</f>
        <v>1080</v>
      </c>
      <c r="K10" s="93">
        <f>costos!$C$11</f>
        <v>1080</v>
      </c>
      <c r="L10" s="96">
        <f>costos!$C$11</f>
        <v>1080</v>
      </c>
      <c r="M10" s="42"/>
      <c r="N10" s="42"/>
    </row>
    <row r="11" spans="1:12" ht="15">
      <c r="A11" s="88" t="s">
        <v>156</v>
      </c>
      <c r="B11" s="41"/>
      <c r="C11" s="93">
        <f>costos!$C$12</f>
        <v>180</v>
      </c>
      <c r="D11" s="93">
        <f>costos!$C$12</f>
        <v>180</v>
      </c>
      <c r="E11" s="93">
        <f>costos!$C$12</f>
        <v>180</v>
      </c>
      <c r="F11" s="93">
        <f>costos!$C$12</f>
        <v>180</v>
      </c>
      <c r="G11" s="93">
        <f>costos!$C$12</f>
        <v>180</v>
      </c>
      <c r="H11" s="93">
        <f>costos!$C$12</f>
        <v>180</v>
      </c>
      <c r="I11" s="93">
        <f>costos!$C$12</f>
        <v>180</v>
      </c>
      <c r="J11" s="93">
        <f>costos!$C$12</f>
        <v>180</v>
      </c>
      <c r="K11" s="93">
        <f>costos!$C$12</f>
        <v>180</v>
      </c>
      <c r="L11" s="96">
        <f>costos!$C$12</f>
        <v>180</v>
      </c>
    </row>
    <row r="12" spans="1:12" ht="15">
      <c r="A12" s="88" t="s">
        <v>157</v>
      </c>
      <c r="B12" s="41"/>
      <c r="C12" s="93">
        <f>costos!$C$13</f>
        <v>1188</v>
      </c>
      <c r="D12" s="93">
        <f>costos!$C$13</f>
        <v>1188</v>
      </c>
      <c r="E12" s="93">
        <f>costos!$C$13</f>
        <v>1188</v>
      </c>
      <c r="F12" s="93">
        <f>costos!$C$13</f>
        <v>1188</v>
      </c>
      <c r="G12" s="93">
        <f>costos!$C$13</f>
        <v>1188</v>
      </c>
      <c r="H12" s="93">
        <f>costos!$C$13</f>
        <v>1188</v>
      </c>
      <c r="I12" s="93">
        <f>costos!$C$13</f>
        <v>1188</v>
      </c>
      <c r="J12" s="93">
        <f>costos!$C$13</f>
        <v>1188</v>
      </c>
      <c r="K12" s="93">
        <f>costos!$C$13</f>
        <v>1188</v>
      </c>
      <c r="L12" s="96">
        <f>costos!$C$13</f>
        <v>1188</v>
      </c>
    </row>
    <row r="13" spans="1:12" ht="15">
      <c r="A13" s="88" t="s">
        <v>204</v>
      </c>
      <c r="B13" s="41"/>
      <c r="C13" s="93">
        <f>costos!$C$14</f>
        <v>18.228664900000002</v>
      </c>
      <c r="D13" s="93">
        <f>costos!$C$14</f>
        <v>18.228664900000002</v>
      </c>
      <c r="E13" s="93">
        <f>costos!$C$14</f>
        <v>18.228664900000002</v>
      </c>
      <c r="F13" s="93">
        <f>costos!$C$14</f>
        <v>18.228664900000002</v>
      </c>
      <c r="G13" s="93">
        <f>costos!$C$14</f>
        <v>18.228664900000002</v>
      </c>
      <c r="H13" s="93">
        <f>costos!$C$14</f>
        <v>18.228664900000002</v>
      </c>
      <c r="I13" s="93">
        <f>costos!$C$14</f>
        <v>18.228664900000002</v>
      </c>
      <c r="J13" s="93">
        <f>costos!$C$14</f>
        <v>18.228664900000002</v>
      </c>
      <c r="K13" s="93">
        <f>costos!$C$14</f>
        <v>18.228664900000002</v>
      </c>
      <c r="L13" s="96">
        <f>costos!$C$14</f>
        <v>18.228664900000002</v>
      </c>
    </row>
    <row r="14" spans="1:12" ht="15">
      <c r="A14" s="88" t="s">
        <v>205</v>
      </c>
      <c r="B14" s="41"/>
      <c r="C14" s="93">
        <f>costos!$C$15</f>
        <v>87.3266</v>
      </c>
      <c r="D14" s="93">
        <f>costos!$C$15</f>
        <v>87.3266</v>
      </c>
      <c r="E14" s="93">
        <f>costos!$C$15</f>
        <v>87.3266</v>
      </c>
      <c r="F14" s="93">
        <f>costos!$C$15</f>
        <v>87.3266</v>
      </c>
      <c r="G14" s="93">
        <f>costos!$C$15</f>
        <v>87.3266</v>
      </c>
      <c r="H14" s="93">
        <f>costos!$C$15</f>
        <v>87.3266</v>
      </c>
      <c r="I14" s="93">
        <f>costos!$C$15</f>
        <v>87.3266</v>
      </c>
      <c r="J14" s="93">
        <f>costos!$C$15</f>
        <v>87.3266</v>
      </c>
      <c r="K14" s="93">
        <f>costos!$C$15</f>
        <v>87.3266</v>
      </c>
      <c r="L14" s="96">
        <f>costos!$C$15</f>
        <v>87.3266</v>
      </c>
    </row>
    <row r="15" spans="1:12" ht="26.25">
      <c r="A15" s="88" t="s">
        <v>158</v>
      </c>
      <c r="B15" s="43"/>
      <c r="C15" s="93">
        <f>Depreciacion!$E$12</f>
        <v>1710.7980000000002</v>
      </c>
      <c r="D15" s="93">
        <f>Depreciacion!$E$12</f>
        <v>1710.7980000000002</v>
      </c>
      <c r="E15" s="93">
        <f>Depreciacion!$E$12</f>
        <v>1710.7980000000002</v>
      </c>
      <c r="F15" s="93">
        <f>Depreciacion!$E$12</f>
        <v>1710.7980000000002</v>
      </c>
      <c r="G15" s="93">
        <f>Depreciacion!$E$12</f>
        <v>1710.7980000000002</v>
      </c>
      <c r="H15" s="93">
        <f>Depreciacion!$E$12</f>
        <v>1710.7980000000002</v>
      </c>
      <c r="I15" s="93">
        <f>Depreciacion!$E$12</f>
        <v>1710.7980000000002</v>
      </c>
      <c r="J15" s="93">
        <f>Depreciacion!$E$12</f>
        <v>1710.7980000000002</v>
      </c>
      <c r="K15" s="93">
        <f>Depreciacion!$E$12</f>
        <v>1710.7980000000002</v>
      </c>
      <c r="L15" s="96">
        <f>Depreciacion!$E$12</f>
        <v>1710.7980000000002</v>
      </c>
    </row>
    <row r="16" spans="1:12" ht="15">
      <c r="A16" s="88" t="s">
        <v>159</v>
      </c>
      <c r="B16" s="43"/>
      <c r="C16" s="93">
        <f>Depreciacion!$E$6</f>
        <v>432</v>
      </c>
      <c r="D16" s="93">
        <f>Depreciacion!$E$6</f>
        <v>432</v>
      </c>
      <c r="E16" s="93">
        <f>Depreciacion!$E$6</f>
        <v>432</v>
      </c>
      <c r="F16" s="93">
        <f>Depreciacion!$E$6</f>
        <v>432</v>
      </c>
      <c r="G16" s="93">
        <f>Depreciacion!$E$6</f>
        <v>432</v>
      </c>
      <c r="H16" s="93">
        <f>Depreciacion!$E$6</f>
        <v>432</v>
      </c>
      <c r="I16" s="93">
        <f>Depreciacion!$E$6</f>
        <v>432</v>
      </c>
      <c r="J16" s="93">
        <f>Depreciacion!$E$6</f>
        <v>432</v>
      </c>
      <c r="K16" s="93">
        <f>Depreciacion!$E$6</f>
        <v>432</v>
      </c>
      <c r="L16" s="96">
        <f>Depreciacion!$E$6</f>
        <v>432</v>
      </c>
    </row>
    <row r="17" spans="1:12" ht="15">
      <c r="A17" s="88" t="s">
        <v>160</v>
      </c>
      <c r="B17" s="43"/>
      <c r="C17" s="93">
        <f>Depreciacion!$E$7</f>
        <v>42.03</v>
      </c>
      <c r="D17" s="93">
        <f>Depreciacion!$E$7</f>
        <v>42.03</v>
      </c>
      <c r="E17" s="93">
        <f>Depreciacion!$E$7</f>
        <v>42.03</v>
      </c>
      <c r="F17" s="93">
        <f>Depreciacion!$E$7</f>
        <v>42.03</v>
      </c>
      <c r="G17" s="93">
        <f>Depreciacion!$E$7</f>
        <v>42.03</v>
      </c>
      <c r="H17" s="93">
        <f>Depreciacion!$E$7</f>
        <v>42.03</v>
      </c>
      <c r="I17" s="93">
        <f>Depreciacion!$E$7</f>
        <v>42.03</v>
      </c>
      <c r="J17" s="93">
        <f>Depreciacion!$E$7</f>
        <v>42.03</v>
      </c>
      <c r="K17" s="93">
        <f>Depreciacion!$E$7</f>
        <v>42.03</v>
      </c>
      <c r="L17" s="96">
        <f>Depreciacion!$E$7</f>
        <v>42.03</v>
      </c>
    </row>
    <row r="18" spans="1:12" ht="15">
      <c r="A18" s="88" t="s">
        <v>135</v>
      </c>
      <c r="B18" s="43"/>
      <c r="C18" s="93">
        <f>Depreciacion!$E$4</f>
        <v>63</v>
      </c>
      <c r="D18" s="93">
        <f>Depreciacion!$E$4</f>
        <v>63</v>
      </c>
      <c r="E18" s="93">
        <f>Depreciacion!$E$4</f>
        <v>63</v>
      </c>
      <c r="F18" s="93">
        <f>Depreciacion!$E$4</f>
        <v>63</v>
      </c>
      <c r="G18" s="93">
        <f>Depreciacion!$E$4</f>
        <v>63</v>
      </c>
      <c r="H18" s="93">
        <f>Depreciacion!$E$4</f>
        <v>63</v>
      </c>
      <c r="I18" s="93">
        <f>Depreciacion!$E$4</f>
        <v>63</v>
      </c>
      <c r="J18" s="93">
        <f>Depreciacion!$E$4</f>
        <v>63</v>
      </c>
      <c r="K18" s="93">
        <f>Depreciacion!$E$4</f>
        <v>63</v>
      </c>
      <c r="L18" s="96">
        <f>Depreciacion!$E$4</f>
        <v>63</v>
      </c>
    </row>
    <row r="19" spans="1:12" ht="15">
      <c r="A19" s="88" t="s">
        <v>165</v>
      </c>
      <c r="B19" s="43"/>
      <c r="C19" s="93">
        <f>Financiamiento!C9</f>
        <v>1499.5085571707637</v>
      </c>
      <c r="D19" s="93">
        <f>Financiamiento!D9</f>
        <v>1410.6957131719605</v>
      </c>
      <c r="E19" s="93">
        <f>Financiamiento!E9</f>
        <v>1311.9358306452916</v>
      </c>
      <c r="F19" s="93">
        <f>Financiamiento!F9</f>
        <v>1202.1148412756356</v>
      </c>
      <c r="G19" s="93">
        <f>Financiamiento!G9</f>
        <v>1079.9939010965786</v>
      </c>
      <c r="H19" s="93">
        <f>Financiamiento!H9</f>
        <v>944.1954156174664</v>
      </c>
      <c r="I19" s="93">
        <f>Financiamiento!I9</f>
        <v>793.1874997646939</v>
      </c>
      <c r="J19" s="93">
        <f>Financiamiento!J9</f>
        <v>625.2666973364105</v>
      </c>
      <c r="K19" s="93">
        <f>Financiamiento!K9</f>
        <v>438.53876503616044</v>
      </c>
      <c r="L19" s="96">
        <f>Financiamiento!L9</f>
        <v>230.89730431828136</v>
      </c>
    </row>
    <row r="20" spans="1:12" ht="15">
      <c r="A20" s="89" t="s">
        <v>136</v>
      </c>
      <c r="B20" s="43"/>
      <c r="C20" s="94">
        <f>C4-C5-C6-C7-C8-C9-C10-C11-C12-C13-C14-C15-C16-C17-C18-C19</f>
        <v>438.11952992923375</v>
      </c>
      <c r="D20" s="94">
        <f>D4-D5-D6-D7-D8-D9-D10-D11-D12-D13-D14-D15-D16-D17-D18-D19</f>
        <v>517.2827239280375</v>
      </c>
      <c r="E20" s="94">
        <f aca="true" t="shared" si="0" ref="E20:L20">E4-E5-E6-E7-E8-E9-E10-E11-E12-E13-E14-E15-E16-E17-E18-E19</f>
        <v>606.2932948047055</v>
      </c>
      <c r="F20" s="94">
        <f t="shared" si="0"/>
        <v>706.2643790379345</v>
      </c>
      <c r="G20" s="94">
        <f t="shared" si="0"/>
        <v>818.4338800450384</v>
      </c>
      <c r="H20" s="94">
        <f t="shared" si="0"/>
        <v>944.1784429734415</v>
      </c>
      <c r="I20" s="94">
        <f t="shared" si="0"/>
        <v>1085.0289946771527</v>
      </c>
      <c r="J20" s="94">
        <f t="shared" si="0"/>
        <v>1242.688024179085</v>
      </c>
      <c r="K20" s="94">
        <f t="shared" si="0"/>
        <v>1419.048798553618</v>
      </c>
      <c r="L20" s="97">
        <f t="shared" si="0"/>
        <v>1616.2167309966787</v>
      </c>
    </row>
    <row r="21" spans="1:12" ht="15">
      <c r="A21" s="88" t="s">
        <v>137</v>
      </c>
      <c r="B21" s="43"/>
      <c r="C21" s="93">
        <f>C20*0.15</f>
        <v>65.71792948938506</v>
      </c>
      <c r="D21" s="93">
        <f aca="true" t="shared" si="1" ref="D21:L21">D20*0.15</f>
        <v>77.59240858920562</v>
      </c>
      <c r="E21" s="93">
        <f t="shared" si="1"/>
        <v>90.94399422070582</v>
      </c>
      <c r="F21" s="93">
        <f t="shared" si="1"/>
        <v>105.93965685569017</v>
      </c>
      <c r="G21" s="93">
        <f t="shared" si="1"/>
        <v>122.76508200675576</v>
      </c>
      <c r="H21" s="93">
        <f t="shared" si="1"/>
        <v>141.62676644601623</v>
      </c>
      <c r="I21" s="93">
        <f t="shared" si="1"/>
        <v>162.7543492015729</v>
      </c>
      <c r="J21" s="93">
        <f t="shared" si="1"/>
        <v>186.40320362686273</v>
      </c>
      <c r="K21" s="93">
        <f t="shared" si="1"/>
        <v>212.8573197830427</v>
      </c>
      <c r="L21" s="96">
        <f t="shared" si="1"/>
        <v>242.4325096495018</v>
      </c>
    </row>
    <row r="22" spans="1:12" ht="15">
      <c r="A22" s="89" t="s">
        <v>138</v>
      </c>
      <c r="B22" s="43"/>
      <c r="C22" s="94">
        <f>C20-C21</f>
        <v>372.4016004398487</v>
      </c>
      <c r="D22" s="94">
        <f>D20-D21</f>
        <v>439.6903153388319</v>
      </c>
      <c r="E22" s="94">
        <f aca="true" t="shared" si="2" ref="E22:L22">E20-E21</f>
        <v>515.3493005839997</v>
      </c>
      <c r="F22" s="94">
        <f t="shared" si="2"/>
        <v>600.3247221822444</v>
      </c>
      <c r="G22" s="94">
        <f t="shared" si="2"/>
        <v>695.6687980382827</v>
      </c>
      <c r="H22" s="94">
        <f t="shared" si="2"/>
        <v>802.5516765274253</v>
      </c>
      <c r="I22" s="94">
        <f t="shared" si="2"/>
        <v>922.2746454755797</v>
      </c>
      <c r="J22" s="94">
        <f t="shared" si="2"/>
        <v>1056.2848205522223</v>
      </c>
      <c r="K22" s="94">
        <f t="shared" si="2"/>
        <v>1206.1914787705755</v>
      </c>
      <c r="L22" s="97">
        <f t="shared" si="2"/>
        <v>1373.784221347177</v>
      </c>
    </row>
    <row r="23" spans="1:12" ht="15">
      <c r="A23" s="88" t="s">
        <v>139</v>
      </c>
      <c r="B23" s="43"/>
      <c r="C23" s="93">
        <f>C22*0.25</f>
        <v>93.10040010996218</v>
      </c>
      <c r="D23" s="93">
        <f>D22*0.25</f>
        <v>109.92257883470798</v>
      </c>
      <c r="E23" s="93">
        <f>E22*0.25</f>
        <v>128.83732514599993</v>
      </c>
      <c r="F23" s="93">
        <f aca="true" t="shared" si="3" ref="F23:L23">F22*0.25</f>
        <v>150.0811805455611</v>
      </c>
      <c r="G23" s="93">
        <f t="shared" si="3"/>
        <v>173.91719950957068</v>
      </c>
      <c r="H23" s="93">
        <f t="shared" si="3"/>
        <v>200.63791913185634</v>
      </c>
      <c r="I23" s="93">
        <f t="shared" si="3"/>
        <v>230.56866136889494</v>
      </c>
      <c r="J23" s="93">
        <f t="shared" si="3"/>
        <v>264.0712051380556</v>
      </c>
      <c r="K23" s="93">
        <f t="shared" si="3"/>
        <v>301.54786969264387</v>
      </c>
      <c r="L23" s="96">
        <f t="shared" si="3"/>
        <v>343.44605533679425</v>
      </c>
    </row>
    <row r="24" spans="1:12" ht="15.75" thickBot="1">
      <c r="A24" s="89" t="s">
        <v>151</v>
      </c>
      <c r="B24" s="44"/>
      <c r="C24" s="127">
        <f>C22-C23</f>
        <v>279.30120032988657</v>
      </c>
      <c r="D24" s="127">
        <f aca="true" t="shared" si="4" ref="D24:L24">D22-D23</f>
        <v>329.76773650412395</v>
      </c>
      <c r="E24" s="127">
        <f t="shared" si="4"/>
        <v>386.5119754379998</v>
      </c>
      <c r="F24" s="127">
        <f t="shared" si="4"/>
        <v>450.2435416366833</v>
      </c>
      <c r="G24" s="127">
        <f t="shared" si="4"/>
        <v>521.7515985287121</v>
      </c>
      <c r="H24" s="127">
        <f t="shared" si="4"/>
        <v>601.9137573955691</v>
      </c>
      <c r="I24" s="127">
        <f t="shared" si="4"/>
        <v>691.7059841066848</v>
      </c>
      <c r="J24" s="127">
        <f t="shared" si="4"/>
        <v>792.2136154141667</v>
      </c>
      <c r="K24" s="127">
        <f t="shared" si="4"/>
        <v>904.6436090779316</v>
      </c>
      <c r="L24" s="128">
        <f t="shared" si="4"/>
        <v>1030.3381660103828</v>
      </c>
    </row>
    <row r="25" ht="15.75" thickBot="1"/>
    <row r="26" spans="3:4" ht="15">
      <c r="C26" s="233" t="s">
        <v>267</v>
      </c>
      <c r="D26" s="236">
        <f>C24</f>
        <v>279.30120032988657</v>
      </c>
    </row>
    <row r="27" spans="3:4" ht="15.75" thickBot="1">
      <c r="C27" s="234" t="s">
        <v>268</v>
      </c>
      <c r="D27" s="237">
        <f>D24</f>
        <v>329.76773650412395</v>
      </c>
    </row>
    <row r="28" spans="3:4" ht="15">
      <c r="C28" s="234" t="s">
        <v>269</v>
      </c>
      <c r="D28" s="236">
        <f>E24</f>
        <v>386.5119754379998</v>
      </c>
    </row>
    <row r="29" spans="3:4" ht="15.75" thickBot="1">
      <c r="C29" s="234" t="s">
        <v>270</v>
      </c>
      <c r="D29" s="237">
        <f>F24</f>
        <v>450.2435416366833</v>
      </c>
    </row>
    <row r="30" spans="3:4" ht="15">
      <c r="C30" s="234" t="s">
        <v>271</v>
      </c>
      <c r="D30" s="236">
        <f>G24</f>
        <v>521.7515985287121</v>
      </c>
    </row>
    <row r="31" spans="3:4" ht="15.75" thickBot="1">
      <c r="C31" s="234" t="s">
        <v>272</v>
      </c>
      <c r="D31" s="237">
        <f>H24</f>
        <v>601.9137573955691</v>
      </c>
    </row>
    <row r="32" spans="3:4" ht="15">
      <c r="C32" s="234" t="s">
        <v>273</v>
      </c>
      <c r="D32" s="236">
        <f>I24</f>
        <v>691.7059841066848</v>
      </c>
    </row>
    <row r="33" spans="3:4" ht="15.75" thickBot="1">
      <c r="C33" s="234" t="s">
        <v>274</v>
      </c>
      <c r="D33" s="237">
        <f>J24</f>
        <v>792.2136154141667</v>
      </c>
    </row>
    <row r="34" spans="3:4" ht="15">
      <c r="C34" s="234" t="s">
        <v>275</v>
      </c>
      <c r="D34" s="236">
        <f>K24</f>
        <v>904.6436090779316</v>
      </c>
    </row>
    <row r="35" spans="3:4" ht="15.75" thickBot="1">
      <c r="C35" s="235" t="s">
        <v>276</v>
      </c>
      <c r="D35" s="237">
        <f>L24</f>
        <v>1030.3381660103828</v>
      </c>
    </row>
  </sheetData>
  <sheetProtection/>
  <mergeCells count="1">
    <mergeCell ref="A1:L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R43"/>
  <sheetViews>
    <sheetView zoomScalePageLayoutView="0" workbookViewId="0" topLeftCell="C22">
      <selection activeCell="F2" sqref="F2"/>
    </sheetView>
  </sheetViews>
  <sheetFormatPr defaultColWidth="11.421875" defaultRowHeight="15"/>
  <cols>
    <col min="2" max="2" width="24.7109375" style="0" customWidth="1"/>
    <col min="3" max="3" width="21.8515625" style="0" customWidth="1"/>
    <col min="5" max="5" width="13.8515625" style="0" customWidth="1"/>
    <col min="6" max="6" width="13.7109375" style="0" customWidth="1"/>
    <col min="11" max="11" width="26.28125" style="0" customWidth="1"/>
    <col min="12" max="12" width="26.7109375" style="0" customWidth="1"/>
    <col min="13" max="13" width="20.00390625" style="0" customWidth="1"/>
  </cols>
  <sheetData>
    <row r="1" ht="15.75" thickBot="1"/>
    <row r="2" spans="2:13" ht="16.5" thickBot="1">
      <c r="B2" s="222" t="s">
        <v>254</v>
      </c>
      <c r="C2" s="223" t="s">
        <v>255</v>
      </c>
      <c r="I2" s="391" t="s">
        <v>256</v>
      </c>
      <c r="J2" s="391"/>
      <c r="K2" s="391"/>
      <c r="L2" s="391"/>
      <c r="M2" s="391"/>
    </row>
    <row r="3" spans="2:13" ht="15">
      <c r="B3" s="15"/>
      <c r="C3" s="23"/>
      <c r="F3" s="8"/>
      <c r="I3" s="189" t="s">
        <v>218</v>
      </c>
      <c r="J3" s="190" t="s">
        <v>219</v>
      </c>
      <c r="K3" s="190" t="s">
        <v>220</v>
      </c>
      <c r="L3" s="190" t="s">
        <v>221</v>
      </c>
      <c r="M3" s="190" t="s">
        <v>222</v>
      </c>
    </row>
    <row r="4" spans="2:13" ht="15">
      <c r="B4" s="15"/>
      <c r="C4" s="23"/>
      <c r="I4" s="191" t="s">
        <v>223</v>
      </c>
      <c r="J4" s="192">
        <v>40</v>
      </c>
      <c r="K4" s="193">
        <v>1.318927085338763</v>
      </c>
      <c r="L4" s="194">
        <v>0.402716807755396</v>
      </c>
      <c r="M4" s="193">
        <v>3.2750733516438157</v>
      </c>
    </row>
    <row r="5" spans="2:13" ht="15">
      <c r="B5" s="15" t="s">
        <v>169</v>
      </c>
      <c r="C5" s="149">
        <v>0.0266</v>
      </c>
      <c r="I5" s="191" t="s">
        <v>224</v>
      </c>
      <c r="J5" s="192">
        <v>69</v>
      </c>
      <c r="K5" s="193">
        <v>1.116992117179115</v>
      </c>
      <c r="L5" s="194">
        <v>0.477703671788865</v>
      </c>
      <c r="M5" s="193">
        <v>2.338253153877373</v>
      </c>
    </row>
    <row r="6" spans="2:13" ht="15">
      <c r="B6" s="15" t="s">
        <v>170</v>
      </c>
      <c r="C6" s="149">
        <v>0.0732</v>
      </c>
      <c r="I6" s="191" t="s">
        <v>225</v>
      </c>
      <c r="J6" s="192">
        <v>49</v>
      </c>
      <c r="K6" s="193">
        <v>1.1534296012484233</v>
      </c>
      <c r="L6" s="194">
        <v>0.474218996706699</v>
      </c>
      <c r="M6" s="193">
        <v>2.4322720288698414</v>
      </c>
    </row>
    <row r="7" spans="2:13" ht="15">
      <c r="B7" s="15" t="s">
        <v>171</v>
      </c>
      <c r="C7" s="23">
        <v>5.03</v>
      </c>
      <c r="I7" s="191" t="s">
        <v>226</v>
      </c>
      <c r="J7" s="192">
        <v>57</v>
      </c>
      <c r="K7" s="193">
        <v>0.8116826636688189</v>
      </c>
      <c r="L7" s="194">
        <v>0.355766075257309</v>
      </c>
      <c r="M7" s="193">
        <v>2.281506641918476</v>
      </c>
    </row>
    <row r="8" spans="2:13" ht="15">
      <c r="B8" s="15" t="s">
        <v>172</v>
      </c>
      <c r="C8" s="149">
        <v>0.1172</v>
      </c>
      <c r="I8" s="191" t="s">
        <v>227</v>
      </c>
      <c r="J8" s="192">
        <v>28</v>
      </c>
      <c r="K8" s="193">
        <v>0.9982686970749554</v>
      </c>
      <c r="L8" s="194">
        <v>0.638239021324839</v>
      </c>
      <c r="M8" s="193">
        <v>1.564098501847751</v>
      </c>
    </row>
    <row r="9" spans="2:13" ht="15">
      <c r="B9" s="15" t="s">
        <v>253</v>
      </c>
      <c r="C9" s="149">
        <f>C6-C5</f>
        <v>0.0466</v>
      </c>
      <c r="I9" s="191" t="s">
        <v>228</v>
      </c>
      <c r="J9" s="192">
        <v>56</v>
      </c>
      <c r="K9" s="193">
        <v>1.1684946930147224</v>
      </c>
      <c r="L9" s="194">
        <v>0.431751725386028</v>
      </c>
      <c r="M9" s="193">
        <v>2.7064042233299115</v>
      </c>
    </row>
    <row r="10" spans="2:13" ht="15">
      <c r="B10" s="15"/>
      <c r="C10" s="149"/>
      <c r="I10" s="191" t="s">
        <v>229</v>
      </c>
      <c r="J10" s="192">
        <v>504</v>
      </c>
      <c r="K10" s="193">
        <v>0.5180595297399034</v>
      </c>
      <c r="L10" s="194">
        <v>0.538392785276771</v>
      </c>
      <c r="M10" s="193">
        <v>0.9622334175105729</v>
      </c>
    </row>
    <row r="11" spans="2:13" ht="15">
      <c r="B11" s="15"/>
      <c r="C11" s="23"/>
      <c r="I11" s="191" t="s">
        <v>230</v>
      </c>
      <c r="J11" s="192">
        <v>8</v>
      </c>
      <c r="K11" s="193">
        <v>0.6597250321232349</v>
      </c>
      <c r="L11" s="194">
        <v>0.708819367891404</v>
      </c>
      <c r="M11" s="193">
        <v>0.9307378748492511</v>
      </c>
    </row>
    <row r="12" spans="2:13" ht="15.75" thickBot="1">
      <c r="B12" s="17" t="s">
        <v>173</v>
      </c>
      <c r="C12" s="150">
        <f>(C5+(C7*(C6-C5)))+C8</f>
        <v>0.37819800000000003</v>
      </c>
      <c r="I12" s="191" t="s">
        <v>231</v>
      </c>
      <c r="J12" s="192">
        <v>38</v>
      </c>
      <c r="K12" s="193">
        <v>0.7164036770112412</v>
      </c>
      <c r="L12" s="194">
        <v>0.707878928807299</v>
      </c>
      <c r="M12" s="193">
        <v>1.012042664157705</v>
      </c>
    </row>
    <row r="13" spans="9:13" ht="15">
      <c r="I13" s="191" t="s">
        <v>232</v>
      </c>
      <c r="J13" s="192">
        <v>44</v>
      </c>
      <c r="K13" s="193">
        <v>0.8235317959651145</v>
      </c>
      <c r="L13" s="194">
        <v>0.442227865648746</v>
      </c>
      <c r="M13" s="193">
        <v>1.8622340651396936</v>
      </c>
    </row>
    <row r="14" spans="1:13" ht="18.75">
      <c r="A14" s="203" t="s">
        <v>217</v>
      </c>
      <c r="I14" s="191" t="s">
        <v>233</v>
      </c>
      <c r="J14" s="192">
        <v>103</v>
      </c>
      <c r="K14" s="193">
        <v>1.5336319690640228</v>
      </c>
      <c r="L14" s="194">
        <v>0.333761031936399</v>
      </c>
      <c r="M14" s="193">
        <v>4.595000081843795</v>
      </c>
    </row>
    <row r="15" spans="9:13" ht="15">
      <c r="I15" s="191" t="s">
        <v>234</v>
      </c>
      <c r="J15" s="192">
        <v>49</v>
      </c>
      <c r="K15" s="193">
        <v>0.9184800135928644</v>
      </c>
      <c r="L15" s="194">
        <v>0.449951869337628</v>
      </c>
      <c r="M15" s="193">
        <v>2.0412850266517495</v>
      </c>
    </row>
    <row r="16" spans="9:13" ht="15">
      <c r="I16" s="191" t="s">
        <v>235</v>
      </c>
      <c r="J16" s="192">
        <v>23</v>
      </c>
      <c r="K16" s="193">
        <v>1.0989121484278441</v>
      </c>
      <c r="L16" s="194">
        <v>0.472068995223552</v>
      </c>
      <c r="M16" s="193">
        <v>2.327863425784711</v>
      </c>
    </row>
    <row r="17" spans="9:13" ht="15">
      <c r="I17" s="191" t="s">
        <v>236</v>
      </c>
      <c r="J17" s="192">
        <v>13</v>
      </c>
      <c r="K17" s="193">
        <v>0.7215237197369556</v>
      </c>
      <c r="L17" s="194">
        <v>0.482047372750928</v>
      </c>
      <c r="M17" s="193">
        <v>1.4967900677881385</v>
      </c>
    </row>
    <row r="18" spans="9:13" ht="15">
      <c r="I18" s="195" t="s">
        <v>237</v>
      </c>
      <c r="J18" s="196">
        <v>19</v>
      </c>
      <c r="K18" s="197">
        <v>1.3888407069289994</v>
      </c>
      <c r="L18" s="198">
        <v>0.577048883463391</v>
      </c>
      <c r="M18" s="197">
        <v>2.4067990541690563</v>
      </c>
    </row>
    <row r="19" spans="9:13" ht="15">
      <c r="I19" s="191" t="s">
        <v>238</v>
      </c>
      <c r="J19" s="192">
        <v>37</v>
      </c>
      <c r="K19" s="193">
        <v>1.0979150058674234</v>
      </c>
      <c r="L19" s="194">
        <v>0.568187856919977</v>
      </c>
      <c r="M19" s="193">
        <v>1.9323098733911392</v>
      </c>
    </row>
    <row r="20" spans="9:13" ht="15">
      <c r="I20" s="191" t="s">
        <v>239</v>
      </c>
      <c r="J20" s="192">
        <v>90</v>
      </c>
      <c r="K20" s="193">
        <v>0.9790307405386373</v>
      </c>
      <c r="L20" s="194">
        <v>0.448568711776609</v>
      </c>
      <c r="M20" s="193">
        <v>2.1825658251131053</v>
      </c>
    </row>
    <row r="21" spans="9:13" ht="15">
      <c r="I21" s="191" t="s">
        <v>240</v>
      </c>
      <c r="J21" s="192">
        <v>18</v>
      </c>
      <c r="K21" s="193">
        <v>1.5474785839372533</v>
      </c>
      <c r="L21" s="194">
        <v>0.510385726471041</v>
      </c>
      <c r="M21" s="193">
        <v>3.0319785677334306</v>
      </c>
    </row>
    <row r="22" spans="9:13" ht="15">
      <c r="I22" s="191" t="s">
        <v>241</v>
      </c>
      <c r="J22" s="192">
        <v>376</v>
      </c>
      <c r="K22" s="193">
        <v>1.6578124451669933</v>
      </c>
      <c r="L22" s="194">
        <v>0.340843305534404</v>
      </c>
      <c r="M22" s="193">
        <v>4.863855086042338</v>
      </c>
    </row>
    <row r="23" spans="9:13" ht="15">
      <c r="I23" s="191" t="s">
        <v>242</v>
      </c>
      <c r="J23" s="192">
        <v>144</v>
      </c>
      <c r="K23" s="193">
        <v>1.9650428213258235</v>
      </c>
      <c r="L23" s="194">
        <v>0.375744032884047</v>
      </c>
      <c r="M23" s="193">
        <v>5.229737931546147</v>
      </c>
    </row>
    <row r="24" spans="9:13" ht="15">
      <c r="I24" s="191" t="s">
        <v>243</v>
      </c>
      <c r="J24" s="192">
        <v>107</v>
      </c>
      <c r="K24" s="193">
        <v>0.9639193254877636</v>
      </c>
      <c r="L24" s="194">
        <v>0.502101917116504</v>
      </c>
      <c r="M24" s="193">
        <v>1.9197682634302768</v>
      </c>
    </row>
    <row r="25" spans="9:13" ht="15">
      <c r="I25" s="191" t="s">
        <v>244</v>
      </c>
      <c r="J25" s="192">
        <v>368</v>
      </c>
      <c r="K25" s="193">
        <v>1.8180680352664806</v>
      </c>
      <c r="L25" s="194">
        <v>0.351120154463742</v>
      </c>
      <c r="M25" s="193">
        <v>5.177908508394157</v>
      </c>
    </row>
    <row r="26" spans="9:13" ht="15">
      <c r="I26" s="199" t="s">
        <v>245</v>
      </c>
      <c r="J26" s="200">
        <v>56</v>
      </c>
      <c r="K26" s="201">
        <v>2.2934751480325684</v>
      </c>
      <c r="L26" s="202">
        <v>0.456083861922</v>
      </c>
      <c r="M26" s="201">
        <v>5.02862596007574</v>
      </c>
    </row>
    <row r="27" spans="9:13" ht="15">
      <c r="I27" s="191" t="s">
        <v>246</v>
      </c>
      <c r="J27" s="192">
        <v>39</v>
      </c>
      <c r="K27" s="193">
        <v>1.3421275273475313</v>
      </c>
      <c r="L27" s="194">
        <v>0.357889995102096</v>
      </c>
      <c r="M27" s="193">
        <v>3.7501118939205322</v>
      </c>
    </row>
    <row r="28" spans="9:13" ht="15">
      <c r="I28" s="191" t="s">
        <v>247</v>
      </c>
      <c r="J28" s="192">
        <v>25</v>
      </c>
      <c r="K28" s="193">
        <v>0.6193272501518101</v>
      </c>
      <c r="L28" s="194">
        <v>0.741681149366179</v>
      </c>
      <c r="M28" s="193">
        <v>0.8350316718728401</v>
      </c>
    </row>
    <row r="29" spans="9:13" ht="15">
      <c r="I29" s="191" t="s">
        <v>248</v>
      </c>
      <c r="J29" s="192">
        <v>27</v>
      </c>
      <c r="K29" s="193">
        <v>0.6436427097142672</v>
      </c>
      <c r="L29" s="194">
        <v>0.692366831119986</v>
      </c>
      <c r="M29" s="193">
        <v>0.9296267250022626</v>
      </c>
    </row>
    <row r="30" spans="9:13" ht="15">
      <c r="I30" s="191" t="s">
        <v>249</v>
      </c>
      <c r="J30" s="192">
        <v>17</v>
      </c>
      <c r="K30" s="193">
        <v>0.639495353473671</v>
      </c>
      <c r="L30" s="194">
        <v>0.773897352303905</v>
      </c>
      <c r="M30" s="193">
        <v>0.8263309747344179</v>
      </c>
    </row>
    <row r="31" spans="9:13" ht="15">
      <c r="I31" s="191" t="s">
        <v>250</v>
      </c>
      <c r="J31" s="192">
        <v>86</v>
      </c>
      <c r="K31" s="193">
        <v>0.8738395616220977</v>
      </c>
      <c r="L31" s="194">
        <v>0.418998526862131</v>
      </c>
      <c r="M31" s="193">
        <v>2.0855432790331254</v>
      </c>
    </row>
    <row r="32" spans="9:13" ht="15">
      <c r="I32" s="191" t="s">
        <v>251</v>
      </c>
      <c r="J32" s="192">
        <v>179</v>
      </c>
      <c r="K32" s="193">
        <v>1.3225867628415744</v>
      </c>
      <c r="L32" s="194">
        <v>0.35659385055225</v>
      </c>
      <c r="M32" s="193">
        <v>3.708944393722185</v>
      </c>
    </row>
    <row r="33" spans="9:13" ht="15">
      <c r="I33" s="191" t="s">
        <v>252</v>
      </c>
      <c r="J33" s="192">
        <v>93</v>
      </c>
      <c r="K33" s="193">
        <v>1.2312373351587538</v>
      </c>
      <c r="L33" s="194">
        <v>0.419789854762159</v>
      </c>
      <c r="M33" s="193">
        <v>2.932984971388453</v>
      </c>
    </row>
    <row r="35" ht="18.75">
      <c r="I35" s="203" t="s">
        <v>265</v>
      </c>
    </row>
    <row r="36" spans="9:18" ht="94.5">
      <c r="I36" s="204" t="s">
        <v>257</v>
      </c>
      <c r="J36" s="205"/>
      <c r="K36" s="206" t="s">
        <v>258</v>
      </c>
      <c r="L36" s="207"/>
      <c r="M36" s="208"/>
      <c r="N36" s="208"/>
      <c r="O36" s="208"/>
      <c r="P36" s="208"/>
      <c r="Q36" s="208"/>
      <c r="R36" s="218"/>
    </row>
    <row r="37" spans="9:18" ht="15">
      <c r="I37" s="217"/>
      <c r="J37" s="209"/>
      <c r="K37" s="210">
        <v>39841</v>
      </c>
      <c r="L37" s="210">
        <v>39813</v>
      </c>
      <c r="M37" s="210">
        <v>39721</v>
      </c>
      <c r="N37" s="210">
        <v>39629</v>
      </c>
      <c r="O37" s="210">
        <v>39538</v>
      </c>
      <c r="P37" s="210">
        <v>39447</v>
      </c>
      <c r="Q37" s="210">
        <v>39355</v>
      </c>
      <c r="R37" s="219"/>
    </row>
    <row r="38" spans="9:18" ht="15">
      <c r="I38" s="217"/>
      <c r="J38" s="211" t="s">
        <v>259</v>
      </c>
      <c r="K38" s="212">
        <v>4.61</v>
      </c>
      <c r="L38" s="212">
        <v>4.61</v>
      </c>
      <c r="M38" s="212">
        <v>4.61</v>
      </c>
      <c r="N38" s="212">
        <v>4.61</v>
      </c>
      <c r="O38" s="212">
        <v>4.61</v>
      </c>
      <c r="P38" s="212">
        <v>4.61</v>
      </c>
      <c r="Q38" s="212">
        <v>4.61</v>
      </c>
      <c r="R38" s="219"/>
    </row>
    <row r="39" spans="9:18" ht="15.75" customHeight="1">
      <c r="I39" s="217"/>
      <c r="J39" s="211" t="s">
        <v>260</v>
      </c>
      <c r="K39" s="213">
        <v>4.79</v>
      </c>
      <c r="L39" s="213">
        <v>4.79</v>
      </c>
      <c r="M39" s="213">
        <v>4.79</v>
      </c>
      <c r="N39" s="213">
        <v>4.79</v>
      </c>
      <c r="O39" s="213">
        <v>4.79</v>
      </c>
      <c r="P39" s="213">
        <v>4.79</v>
      </c>
      <c r="Q39" s="213">
        <v>4.79</v>
      </c>
      <c r="R39" s="220"/>
    </row>
    <row r="40" spans="9:18" ht="15">
      <c r="I40" s="217"/>
      <c r="J40" s="211" t="s">
        <v>261</v>
      </c>
      <c r="K40" s="213">
        <v>4.76</v>
      </c>
      <c r="L40" s="213">
        <v>4.76</v>
      </c>
      <c r="M40" s="213">
        <v>4.76</v>
      </c>
      <c r="N40" s="213">
        <v>4.76</v>
      </c>
      <c r="O40" s="213">
        <v>4.76</v>
      </c>
      <c r="P40" s="213">
        <v>4.76</v>
      </c>
      <c r="Q40" s="213">
        <v>4.76</v>
      </c>
      <c r="R40" s="220"/>
    </row>
    <row r="41" spans="9:18" ht="15">
      <c r="I41" s="217"/>
      <c r="J41" s="211" t="s">
        <v>262</v>
      </c>
      <c r="K41" s="213">
        <v>1.68</v>
      </c>
      <c r="L41" s="213">
        <v>1.51</v>
      </c>
      <c r="M41" s="213">
        <v>2.98</v>
      </c>
      <c r="N41" s="213">
        <v>3.32</v>
      </c>
      <c r="O41" s="213">
        <v>2.46</v>
      </c>
      <c r="P41" s="213">
        <v>3.46</v>
      </c>
      <c r="Q41" s="213">
        <v>4.24</v>
      </c>
      <c r="R41" s="220"/>
    </row>
    <row r="42" spans="9:18" ht="15">
      <c r="I42" s="217"/>
      <c r="J42" s="211" t="s">
        <v>263</v>
      </c>
      <c r="K42" s="216">
        <v>2.66</v>
      </c>
      <c r="L42" s="213">
        <v>2.13</v>
      </c>
      <c r="M42" s="213">
        <v>3.84</v>
      </c>
      <c r="N42" s="213">
        <v>3.96</v>
      </c>
      <c r="O42" s="213">
        <v>3.42</v>
      </c>
      <c r="P42" s="213">
        <v>4.04</v>
      </c>
      <c r="Q42" s="213">
        <v>4.58</v>
      </c>
      <c r="R42" s="220"/>
    </row>
    <row r="43" spans="9:18" ht="15.75">
      <c r="I43" s="217"/>
      <c r="J43" s="214" t="s">
        <v>264</v>
      </c>
      <c r="K43" s="215">
        <v>3.42</v>
      </c>
      <c r="L43" s="215">
        <v>2.59</v>
      </c>
      <c r="M43" s="215">
        <v>4.32</v>
      </c>
      <c r="N43" s="215">
        <v>4.52</v>
      </c>
      <c r="O43" s="215">
        <v>4.3</v>
      </c>
      <c r="P43" s="215">
        <v>4.46</v>
      </c>
      <c r="Q43" s="215">
        <v>4.83</v>
      </c>
      <c r="R43" s="221"/>
    </row>
  </sheetData>
  <sheetProtection/>
  <mergeCells count="1">
    <mergeCell ref="I2:M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</dc:creator>
  <cp:keywords/>
  <dc:description/>
  <cp:lastModifiedBy>jennifer</cp:lastModifiedBy>
  <dcterms:created xsi:type="dcterms:W3CDTF">2009-08-23T16:34:50Z</dcterms:created>
  <dcterms:modified xsi:type="dcterms:W3CDTF">2009-09-22T17:29:15Z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