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firstSheet="4" activeTab="5"/>
  </bookViews>
  <sheets>
    <sheet name="Indirectos" sheetId="1" r:id="rId1"/>
    <sheet name="Kardex" sheetId="2" r:id="rId2"/>
    <sheet name="M.O." sheetId="3" r:id="rId3"/>
    <sheet name="Piscinas" sheetId="4" state="hidden" r:id="rId4"/>
    <sheet name="Amort" sheetId="5" r:id="rId5"/>
    <sheet name="Transacc" sheetId="6" r:id="rId6"/>
    <sheet name="Mar02" sheetId="7" r:id="rId7"/>
    <sheet name="Feb02" sheetId="8" r:id="rId8"/>
    <sheet name="Ene02" sheetId="9" r:id="rId9"/>
    <sheet name="Dic01" sheetId="10" r:id="rId10"/>
    <sheet name="Nov01" sheetId="11" r:id="rId11"/>
    <sheet name="Oct01" sheetId="12" r:id="rId12"/>
  </sheets>
  <definedNames>
    <definedName name="Balance">'Mar02'!$A$1:$N$45</definedName>
    <definedName name="_xlnm.Print_Area" localSheetId="9">'Dic01'!$P$1:$S$31</definedName>
    <definedName name="_xlnm.Print_Area" localSheetId="8">'Ene02'!$P$1:$S$31</definedName>
    <definedName name="_xlnm.Print_Area" localSheetId="7">'Feb02'!$P$1:$S$31</definedName>
    <definedName name="_xlnm.Print_Area" localSheetId="6">'Mar02'!$P$1:$S$31</definedName>
    <definedName name="_xlnm.Print_Area" localSheetId="10">'Nov01'!$P$1:$S$31</definedName>
    <definedName name="_xlnm.Print_Area" localSheetId="11">'Oct01'!$P$1:$S$31</definedName>
  </definedNames>
  <calcPr fullCalcOnLoad="1"/>
</workbook>
</file>

<file path=xl/sharedStrings.xml><?xml version="1.0" encoding="utf-8"?>
<sst xmlns="http://schemas.openxmlformats.org/spreadsheetml/2006/main" count="1860" uniqueCount="417">
  <si>
    <t>Activo Corriente</t>
  </si>
  <si>
    <t>Caja y Bancos</t>
  </si>
  <si>
    <t>Caja</t>
  </si>
  <si>
    <t>Bancos</t>
  </si>
  <si>
    <t>Pasivo Corriente</t>
  </si>
  <si>
    <t>Capital</t>
  </si>
  <si>
    <t>Capital Social</t>
  </si>
  <si>
    <t>ACTIVO</t>
  </si>
  <si>
    <t>Gastos Pagados por Anticipado</t>
  </si>
  <si>
    <t>Alquiler</t>
  </si>
  <si>
    <t>Inventarios</t>
  </si>
  <si>
    <t>Activos Fijos</t>
  </si>
  <si>
    <t>Terrenos Edificios y Equipos</t>
  </si>
  <si>
    <t>Activo L/P</t>
  </si>
  <si>
    <t>Depositos en Garantia</t>
  </si>
  <si>
    <t>PASIVO</t>
  </si>
  <si>
    <t>PATRIMONIO</t>
  </si>
  <si>
    <t>Terrenos</t>
  </si>
  <si>
    <t>Construcciones Civiles</t>
  </si>
  <si>
    <t>Maquinaria y Equipos</t>
  </si>
  <si>
    <t>Muebles y enseres</t>
  </si>
  <si>
    <t>Vehiculos</t>
  </si>
  <si>
    <t>Cuentas x Pagar</t>
  </si>
  <si>
    <t>Documentos x Pagar</t>
  </si>
  <si>
    <t>PAVONI S.A.</t>
  </si>
  <si>
    <t>Balance General en US$</t>
  </si>
  <si>
    <t>al</t>
  </si>
  <si>
    <t>mensual</t>
  </si>
  <si>
    <t>Letras Muebles</t>
  </si>
  <si>
    <t>Indefinido</t>
  </si>
  <si>
    <t>Secretaria Sueldo</t>
  </si>
  <si>
    <t>Gastos Constitución</t>
  </si>
  <si>
    <t>Planilla Chavoni</t>
  </si>
  <si>
    <t>1 pago</t>
  </si>
  <si>
    <t>Anual</t>
  </si>
  <si>
    <t>desde Dic Indefinido</t>
  </si>
  <si>
    <t>Banco vs Gto Pag Ant</t>
  </si>
  <si>
    <t>Dctos x Pag vs Banco</t>
  </si>
  <si>
    <t>Depreciación  vs Gasto</t>
  </si>
  <si>
    <t>Amort Gto Pag Ant vs Gasto</t>
  </si>
  <si>
    <t>Banco vs Gasto</t>
  </si>
  <si>
    <t>Gtos x Pag vs Gasto</t>
  </si>
  <si>
    <t>Bancos vs Gtos x Pagar</t>
  </si>
  <si>
    <t>13er Sueldo Pago</t>
  </si>
  <si>
    <t>13er Sueldo Prov</t>
  </si>
  <si>
    <t>Diciembre</t>
  </si>
  <si>
    <t>En el mes</t>
  </si>
  <si>
    <t>mes sgte</t>
  </si>
  <si>
    <t>Fondo Reserva Prov</t>
  </si>
  <si>
    <t>Fondo Reserva Pago</t>
  </si>
  <si>
    <t>IESS + SECAP12.15% Prov</t>
  </si>
  <si>
    <t>IESS + SECAP12.15% Pago</t>
  </si>
  <si>
    <t>Abril</t>
  </si>
  <si>
    <t>Gtos Constit vs Ctas x Pagar</t>
  </si>
  <si>
    <t>Inicial</t>
  </si>
  <si>
    <t>1 vez</t>
  </si>
  <si>
    <t>Pasivo L/P</t>
  </si>
  <si>
    <t>Obligaciones Bancarias L/P</t>
  </si>
  <si>
    <t>Prestamo L/P</t>
  </si>
  <si>
    <t>AF terrenos vs Prestamos L/P</t>
  </si>
  <si>
    <t>Prestamo Compra Terreno</t>
  </si>
  <si>
    <t>Interes Prov</t>
  </si>
  <si>
    <t>Pago Tot</t>
  </si>
  <si>
    <t>Pago Cap</t>
  </si>
  <si>
    <t>Octubre (ver Tabla Amort)</t>
  </si>
  <si>
    <t>Interes Pago</t>
  </si>
  <si>
    <t>Banco vs Gtos x Pag</t>
  </si>
  <si>
    <t>Prestamo Prov Pago Cap año 1</t>
  </si>
  <si>
    <t>Prest L/P vs Porcion Corriente L/P</t>
  </si>
  <si>
    <t>Porcion Corriente L/P</t>
  </si>
  <si>
    <t>Otros</t>
  </si>
  <si>
    <t>Const. En Curso vs Bancos</t>
  </si>
  <si>
    <t>Construcciones en Curso</t>
  </si>
  <si>
    <t>Pago Flash Gordon</t>
  </si>
  <si>
    <t>ocasional</t>
  </si>
  <si>
    <t>AF Maq &amp; Equipos vs Bancos</t>
  </si>
  <si>
    <t>Compra Equipos</t>
  </si>
  <si>
    <t>5 años desde mes sgte</t>
  </si>
  <si>
    <t>Depreciación</t>
  </si>
  <si>
    <t>Ventas</t>
  </si>
  <si>
    <t>Utilidades (P&amp;G)</t>
  </si>
  <si>
    <t>Emision Acciones</t>
  </si>
  <si>
    <t>Caja vs Cap Social</t>
  </si>
  <si>
    <t>Caja vs Bancos</t>
  </si>
  <si>
    <t>Deposito Cuenta</t>
  </si>
  <si>
    <t>Depositos Garantia vs Bancos</t>
  </si>
  <si>
    <t>Deposito Oficina</t>
  </si>
  <si>
    <t>Alquiler Anticipado</t>
  </si>
  <si>
    <t>Compra Muebles</t>
  </si>
  <si>
    <t>6 meses desde Nov</t>
  </si>
  <si>
    <t>Muebles Depreciacion (5a)</t>
  </si>
  <si>
    <t>Gastos Acumulados por Pagar</t>
  </si>
  <si>
    <t>BBSS</t>
  </si>
  <si>
    <t>IESS</t>
  </si>
  <si>
    <t>14o Prov</t>
  </si>
  <si>
    <t>14o Pago</t>
  </si>
  <si>
    <t>Intereses</t>
  </si>
  <si>
    <t>Nada</t>
  </si>
  <si>
    <t>Contratacion Flash Gordon</t>
  </si>
  <si>
    <t>Nunca</t>
  </si>
  <si>
    <t>Equipos Depreciacion (10a)</t>
  </si>
  <si>
    <t>10 años desde mes sgte</t>
  </si>
  <si>
    <t>Prestamos C/P</t>
  </si>
  <si>
    <t>TERRENO</t>
  </si>
  <si>
    <t>CAMIONETA</t>
  </si>
  <si>
    <t>Mensual</t>
  </si>
  <si>
    <t>Pago Interes</t>
  </si>
  <si>
    <t>Compra Vehiculo</t>
  </si>
  <si>
    <t>Banco vs Activo Fijo</t>
  </si>
  <si>
    <t>Dctos x Pag vs Activo Fijo</t>
  </si>
  <si>
    <t>Prestamo C/P vs Activo Fijo</t>
  </si>
  <si>
    <t>'Prestamo C/P vs Banco</t>
  </si>
  <si>
    <t>Pagos Prestamo Capital</t>
  </si>
  <si>
    <t>Noviembre (ver tabla Amort)</t>
  </si>
  <si>
    <t>Vehiculos Depreciacion (5a)</t>
  </si>
  <si>
    <t>Materiales</t>
  </si>
  <si>
    <t>En Proceso</t>
  </si>
  <si>
    <t xml:space="preserve">     Pisc 1</t>
  </si>
  <si>
    <t xml:space="preserve">     Pisc 2</t>
  </si>
  <si>
    <t>Gastos Preoperativos</t>
  </si>
  <si>
    <t>Larva</t>
  </si>
  <si>
    <t>Balanceado</t>
  </si>
  <si>
    <t>MO</t>
  </si>
  <si>
    <t>Cuentas y Doc x Cobrar</t>
  </si>
  <si>
    <t>Banco vs Gastos Anticipados</t>
  </si>
  <si>
    <t>Doc x Pagar vs Gastos Anticipados</t>
  </si>
  <si>
    <t>Seguros</t>
  </si>
  <si>
    <t>Amortizacion Seguro</t>
  </si>
  <si>
    <t>Gasto vs Gastos Anticipados</t>
  </si>
  <si>
    <t>1 año</t>
  </si>
  <si>
    <t>1er año (ver tabla amort)</t>
  </si>
  <si>
    <t>Indirectos</t>
  </si>
  <si>
    <t>Efectivo</t>
  </si>
  <si>
    <t>(Gastos Adm)</t>
  </si>
  <si>
    <t>(Costo Venta)</t>
  </si>
  <si>
    <t xml:space="preserve">     (Larva)</t>
  </si>
  <si>
    <t xml:space="preserve">     (Balanceado)</t>
  </si>
  <si>
    <t xml:space="preserve">     (MO)</t>
  </si>
  <si>
    <t xml:space="preserve">     (Indirectos)</t>
  </si>
  <si>
    <t>Ingreso (Gtos) Financ</t>
  </si>
  <si>
    <t>Inversiones Temporales</t>
  </si>
  <si>
    <t>Banco vs inv. temporales</t>
  </si>
  <si>
    <t>Deposito Plazo</t>
  </si>
  <si>
    <t>Octubre (Al reves sgte mes)</t>
  </si>
  <si>
    <t>Bancos vs Ingresos Financieros</t>
  </si>
  <si>
    <t>Utilidades Período</t>
  </si>
  <si>
    <t>Utilidades Años Anteriores</t>
  </si>
  <si>
    <t>Gastos Acum x pagar vs Gasto</t>
  </si>
  <si>
    <t>Agua, luz y tel Pago</t>
  </si>
  <si>
    <t>Agua, luz y tel Provi</t>
  </si>
  <si>
    <t>Gastos Acum x pagar vs Banco</t>
  </si>
  <si>
    <t>Octubre</t>
  </si>
  <si>
    <t>Noviembre (Corregir si es distinto)</t>
  </si>
  <si>
    <t>Prestamos Accionistas</t>
  </si>
  <si>
    <t>Pisc 1</t>
  </si>
  <si>
    <t>Pisc 2</t>
  </si>
  <si>
    <t>Has</t>
  </si>
  <si>
    <t>densidad</t>
  </si>
  <si>
    <t>Pls</t>
  </si>
  <si>
    <t>Bal mes 1</t>
  </si>
  <si>
    <t>Bal mes 2</t>
  </si>
  <si>
    <t>Bal mes 3</t>
  </si>
  <si>
    <t>Bal mes 4</t>
  </si>
  <si>
    <t>Total</t>
  </si>
  <si>
    <t>sup</t>
  </si>
  <si>
    <t>Peso</t>
  </si>
  <si>
    <t>Libras</t>
  </si>
  <si>
    <t>Lbs / Ha</t>
  </si>
  <si>
    <t>FCR</t>
  </si>
  <si>
    <t>saldo</t>
  </si>
  <si>
    <t>compra</t>
  </si>
  <si>
    <t>consumo</t>
  </si>
  <si>
    <t>Precio</t>
  </si>
  <si>
    <t>Administración</t>
  </si>
  <si>
    <t>Secretaria</t>
  </si>
  <si>
    <t>Gerente</t>
  </si>
  <si>
    <t>Pago Sueldo</t>
  </si>
  <si>
    <t>Prov 13ero</t>
  </si>
  <si>
    <t>Pago 13er</t>
  </si>
  <si>
    <t>Prov IESS</t>
  </si>
  <si>
    <t>Pago IESS</t>
  </si>
  <si>
    <t>Prov 14o</t>
  </si>
  <si>
    <t>Pago 14o</t>
  </si>
  <si>
    <t>2o año Indefinido</t>
  </si>
  <si>
    <t>2o año Septiembre</t>
  </si>
  <si>
    <t>Producción</t>
  </si>
  <si>
    <t>Tecnico</t>
  </si>
  <si>
    <t>Obreros (4)</t>
  </si>
  <si>
    <t>Total Costo Prod</t>
  </si>
  <si>
    <t>Total Gasto Adm</t>
  </si>
  <si>
    <t>Total Egreso</t>
  </si>
  <si>
    <t>Total Prov BBSS</t>
  </si>
  <si>
    <t>Total Prov IESS</t>
  </si>
  <si>
    <t>Total Amort BBSS</t>
  </si>
  <si>
    <t>Total Amort IESS</t>
  </si>
  <si>
    <t>VER TABLA M.O.</t>
  </si>
  <si>
    <t>M.O.D. Sueldo</t>
  </si>
  <si>
    <t>Gerente Sueldo</t>
  </si>
  <si>
    <t>Resumen Transacciones</t>
  </si>
  <si>
    <t>Agua, luz y tel Pago Oct</t>
  </si>
  <si>
    <t xml:space="preserve">Noviembre </t>
  </si>
  <si>
    <t>Diciembre (Corregir si es distinto)</t>
  </si>
  <si>
    <t>Noviembre (Real)</t>
  </si>
  <si>
    <t>Agua, luz y tel Provi Oct Correcc</t>
  </si>
  <si>
    <t>Mes</t>
  </si>
  <si>
    <t>Acum</t>
  </si>
  <si>
    <t>Costo Prod Mes Cheque</t>
  </si>
  <si>
    <t>Costo Prod Mes Efectivo</t>
  </si>
  <si>
    <t>Banco vs Costo Prod (Preop)</t>
  </si>
  <si>
    <t>Gtos x Pag vs Costo Prod (Preop)</t>
  </si>
  <si>
    <t>Caja vs Costo Prod (Preop)</t>
  </si>
  <si>
    <t>Const Curso vs AF</t>
  </si>
  <si>
    <t>Activación Construcc ya pagadas</t>
  </si>
  <si>
    <t>Ctas x Pagar vs AF</t>
  </si>
  <si>
    <t>1 vez, pagar mes sgte</t>
  </si>
  <si>
    <t>Depreciacion vs gasto</t>
  </si>
  <si>
    <t>Construcc Depreciacion (10a)</t>
  </si>
  <si>
    <t>Pendiente</t>
  </si>
  <si>
    <t>Bancos vs Ctas x Pagar</t>
  </si>
  <si>
    <t>Interes Prov Prest Terreno</t>
  </si>
  <si>
    <t>Octubre 02(ver Tabla Amort)</t>
  </si>
  <si>
    <t>Octubre 02 (ver Tabla Amort)</t>
  </si>
  <si>
    <t xml:space="preserve">Activ Construcc x pagar </t>
  </si>
  <si>
    <t>Nov pago dic (ver Tabla Amort)</t>
  </si>
  <si>
    <t>Oct pago Nov (ver tabla Amort)</t>
  </si>
  <si>
    <t>Pago Letras Seguro</t>
  </si>
  <si>
    <t>Pago Seguro Cheque</t>
  </si>
  <si>
    <t>Pago Seguro Letras</t>
  </si>
  <si>
    <t>Banco vs Doc x Pagar</t>
  </si>
  <si>
    <t>POLIZA</t>
  </si>
  <si>
    <t>Deposito Plazo Cobro</t>
  </si>
  <si>
    <t>Bancos vs Caja</t>
  </si>
  <si>
    <t>Mantener 1000 en Caja</t>
  </si>
  <si>
    <t>Mensual (varia)</t>
  </si>
  <si>
    <t>Caja Chica</t>
  </si>
  <si>
    <t>nada</t>
  </si>
  <si>
    <t>Nominal Año</t>
  </si>
  <si>
    <t>Noviembre</t>
  </si>
  <si>
    <t>Nov (Al reves sgte mes)</t>
  </si>
  <si>
    <t>Dic (ver tabla Amort)</t>
  </si>
  <si>
    <t>Amortizacion Gastos Preop (5a)</t>
  </si>
  <si>
    <t>Desde Inicio Operación</t>
  </si>
  <si>
    <t>Llenado de Piscinas</t>
  </si>
  <si>
    <t>Nada, pero ahora costo a Inv.</t>
  </si>
  <si>
    <t>Compra balanceado</t>
  </si>
  <si>
    <t>Inventario vs Ctas x Pagar</t>
  </si>
  <si>
    <t>mes</t>
  </si>
  <si>
    <t>UNIDADES</t>
  </si>
  <si>
    <t>Dic</t>
  </si>
  <si>
    <t>VALOR</t>
  </si>
  <si>
    <t>Ene</t>
  </si>
  <si>
    <t>Feb</t>
  </si>
  <si>
    <t>Mar</t>
  </si>
  <si>
    <t>Ocasional</t>
  </si>
  <si>
    <t>Este mes</t>
  </si>
  <si>
    <t>Ctas x pagar vs Banco</t>
  </si>
  <si>
    <t>Enero</t>
  </si>
  <si>
    <t>Pago Balanceado Dic</t>
  </si>
  <si>
    <t>Otros materiales</t>
  </si>
  <si>
    <t>Compra Materiales</t>
  </si>
  <si>
    <t>Pago Materiales Dic</t>
  </si>
  <si>
    <t>Banco vs Inv Ps 1</t>
  </si>
  <si>
    <t>Banco vs Inv Ps 2</t>
  </si>
  <si>
    <t>Compra Larva Pisc 1</t>
  </si>
  <si>
    <t>Compra Larva Pisc 2</t>
  </si>
  <si>
    <t>Costos Indirectos</t>
  </si>
  <si>
    <t>Pisc 1 Ciclo1</t>
  </si>
  <si>
    <t>Pisc 2 Ciclo1</t>
  </si>
  <si>
    <t>Pisc 1 Ciclo2</t>
  </si>
  <si>
    <t>Pisc 2 Ciclo2</t>
  </si>
  <si>
    <t>DIAS</t>
  </si>
  <si>
    <t>HAS x DIAS</t>
  </si>
  <si>
    <t>% Reparticion Indirectos</t>
  </si>
  <si>
    <t>Costo a Inventario</t>
  </si>
  <si>
    <t>Banco vs Costo Prod Ind (Inv)</t>
  </si>
  <si>
    <t>Ver Tabla</t>
  </si>
  <si>
    <t>Inv material vs Costo Prod Ind (Inv)</t>
  </si>
  <si>
    <t>Diferencia Bodega = Consumo</t>
  </si>
  <si>
    <t>Banco</t>
  </si>
  <si>
    <t>Unit</t>
  </si>
  <si>
    <t>Inv material vs Costo Prod Dir (Inv)</t>
  </si>
  <si>
    <t>Consumo Bal Pisc 1</t>
  </si>
  <si>
    <t>Consumo Bal Pisc 2</t>
  </si>
  <si>
    <t>Ver Kardex</t>
  </si>
  <si>
    <t>Mano de Obra</t>
  </si>
  <si>
    <t>Nov</t>
  </si>
  <si>
    <t>Agua, luz y tel Provi Nov Correcc</t>
  </si>
  <si>
    <t>Agua, luz y tel Pago Nov</t>
  </si>
  <si>
    <t xml:space="preserve">Diciembre </t>
  </si>
  <si>
    <t>Enero (Corregir si es distinto)</t>
  </si>
  <si>
    <t>Diciembre (Real)</t>
  </si>
  <si>
    <t>Gasto Administrativo</t>
  </si>
  <si>
    <t>Costo Produccion</t>
  </si>
  <si>
    <t xml:space="preserve">                         vs   Bancos</t>
  </si>
  <si>
    <t>Gasto</t>
  </si>
  <si>
    <t>Costo Prod Indirecto (Inv)</t>
  </si>
  <si>
    <t>Ver Tabla Indirectos</t>
  </si>
  <si>
    <t>Pagos</t>
  </si>
  <si>
    <t>Prov BBSS</t>
  </si>
  <si>
    <t>Amort BBSS</t>
  </si>
  <si>
    <t>Amort IESS</t>
  </si>
  <si>
    <t xml:space="preserve">                         vs Gtos x Pagar</t>
  </si>
  <si>
    <t xml:space="preserve">                         vs (Gtos x Pagar)</t>
  </si>
  <si>
    <t>Ctas x Pagar vs Banco</t>
  </si>
  <si>
    <t>Abr</t>
  </si>
  <si>
    <t>May</t>
  </si>
  <si>
    <t>Jun</t>
  </si>
  <si>
    <t>Jul</t>
  </si>
  <si>
    <t>Ago</t>
  </si>
  <si>
    <t>Sep</t>
  </si>
  <si>
    <t>Oct</t>
  </si>
  <si>
    <t>Dic pago Ene (ver Tabla Amort)</t>
  </si>
  <si>
    <t>Nov pago Dic (ver tabla Amort)</t>
  </si>
  <si>
    <t>6 meses desde Nov hasta Abr</t>
  </si>
  <si>
    <t>Gtos Preop vs Gasto</t>
  </si>
  <si>
    <t>(Depreciacion &amp; Amort)</t>
  </si>
  <si>
    <t>Dic (Al reves sgte mes)</t>
  </si>
  <si>
    <t>Ene (ver tabla Amort)</t>
  </si>
  <si>
    <t>CORREGIR DICIEMBRE !!!OJO!!!</t>
  </si>
  <si>
    <t>Agua, luz y tel Pago Dic</t>
  </si>
  <si>
    <t>Agua, luz y tel Provi Dic Correcc</t>
  </si>
  <si>
    <t>Diciembre (Real) Pago en Enero</t>
  </si>
  <si>
    <t>Febrero (Corregir si es distinto)</t>
  </si>
  <si>
    <t>Pago Balanceado Ene</t>
  </si>
  <si>
    <t>Febrero</t>
  </si>
  <si>
    <t>Marzo</t>
  </si>
  <si>
    <t>Pago Materiales Ene</t>
  </si>
  <si>
    <t>Consumo Bodega</t>
  </si>
  <si>
    <t>El Imperio</t>
  </si>
  <si>
    <t>Ene pago Feb (ver Tabla Amort)</t>
  </si>
  <si>
    <t>Dic pago Ene (ver tabla Amort)</t>
  </si>
  <si>
    <t>Ene (Al reves sgte mes)</t>
  </si>
  <si>
    <t>Feb (ver tabla Amort)</t>
  </si>
  <si>
    <t>Agua, luz y tel Provi Ene Correcc</t>
  </si>
  <si>
    <t>Agua, luz y tel Pago Ene</t>
  </si>
  <si>
    <t>Marzo (Corregir si es distinto)</t>
  </si>
  <si>
    <t>Pago Balanceado Feb</t>
  </si>
  <si>
    <t>Pago Materiales Feb</t>
  </si>
  <si>
    <t>Pisc1</t>
  </si>
  <si>
    <t>Pisc2</t>
  </si>
  <si>
    <t>Sacos</t>
  </si>
  <si>
    <t>Valor</t>
  </si>
  <si>
    <t>Venta Acciones Penaherrera</t>
  </si>
  <si>
    <t>Feb pago Mar (ver Tabla Amort)</t>
  </si>
  <si>
    <t>Ene pago Feb (ver tabla Amort)</t>
  </si>
  <si>
    <t>Prestamo 1Mes</t>
  </si>
  <si>
    <t>Banco vs Prestamos C/P</t>
  </si>
  <si>
    <t>Feb (Al reves sgte mes)</t>
  </si>
  <si>
    <t>Mar (ver tabla Amort)</t>
  </si>
  <si>
    <t>Agua, luz y tel Pago Feb</t>
  </si>
  <si>
    <t>Ene pago Feb</t>
  </si>
  <si>
    <t>Feb Pago Marzo</t>
  </si>
  <si>
    <t>Abril (Corregir si es distinto)</t>
  </si>
  <si>
    <t>Pago Balanceado Mar</t>
  </si>
  <si>
    <t>Pago Materiales Mar</t>
  </si>
  <si>
    <t>Consumo Bal Pisc 1 Ciclo 2</t>
  </si>
  <si>
    <t>Margen Bruto</t>
  </si>
  <si>
    <t>Prestamo C/P</t>
  </si>
  <si>
    <t>Prestamo C/P Pago Capital</t>
  </si>
  <si>
    <t>Inventarios vs Costo Venta</t>
  </si>
  <si>
    <t>Ventas vs Bancos</t>
  </si>
  <si>
    <t>Cosecha Ps 1 Costo Venta</t>
  </si>
  <si>
    <t>Cosecha Ps 2 Costo Venta</t>
  </si>
  <si>
    <t>Cosecha Ps 2 Venta</t>
  </si>
  <si>
    <t>Cosecha Ps 1 Venta</t>
  </si>
  <si>
    <t>Ventas vs Ctas x Cobrar</t>
  </si>
  <si>
    <t>Compra Larva Pisc 1 Ciclo 2</t>
  </si>
  <si>
    <t>Ver Tabla Indirectos (Esperar Ciclo 2)</t>
  </si>
  <si>
    <t>Costo Prod MO (Inv)</t>
  </si>
  <si>
    <t>Valor en Inventario Antes de Ciclo 2</t>
  </si>
  <si>
    <t>Valor en Inventario</t>
  </si>
  <si>
    <t>Venta</t>
  </si>
  <si>
    <t>Despues de Venta</t>
  </si>
  <si>
    <t>Despues de Venta (Subir de cta provisional)</t>
  </si>
  <si>
    <t>Utilidad Periodo vs Utilidad Años Ant</t>
  </si>
  <si>
    <t>Paso de Util Años Ant</t>
  </si>
  <si>
    <t>Ano Ant</t>
  </si>
  <si>
    <t>Estado de Perdidas &amp; Ganancias en US$</t>
  </si>
  <si>
    <t>Ventas Camaron</t>
  </si>
  <si>
    <t>Costo de Ventas</t>
  </si>
  <si>
    <t>Acumulado</t>
  </si>
  <si>
    <t>Gastos Generales</t>
  </si>
  <si>
    <t>Gastos Administrativos</t>
  </si>
  <si>
    <t>Gastos (Ingresos) Financieros</t>
  </si>
  <si>
    <t>Depreciación &amp; Amortización</t>
  </si>
  <si>
    <t>Gastos de Ventas</t>
  </si>
  <si>
    <t>Otros Gastos (Ingresos)</t>
  </si>
  <si>
    <t>Utilidad Antes de Impuestos</t>
  </si>
  <si>
    <t>Participación Trabajadores</t>
  </si>
  <si>
    <t>Impuestos</t>
  </si>
  <si>
    <t>UTILIDAD NETA</t>
  </si>
  <si>
    <t>Costos Producción Indirectos</t>
  </si>
  <si>
    <t>Bodega</t>
  </si>
  <si>
    <t>TABLA DE REPARTICION COSTOS INDIRECTOS</t>
  </si>
  <si>
    <t xml:space="preserve">KARDEX DE MATERIALES </t>
  </si>
  <si>
    <t>Sald Ini</t>
  </si>
  <si>
    <t>Ingr</t>
  </si>
  <si>
    <t>Disp</t>
  </si>
  <si>
    <t>Egr</t>
  </si>
  <si>
    <t>Sald Fin</t>
  </si>
  <si>
    <t>Ciclo2</t>
  </si>
  <si>
    <t>TABLA DE CALCULOS MANO DE OBRA</t>
  </si>
  <si>
    <t>a</t>
  </si>
  <si>
    <t>b</t>
  </si>
  <si>
    <t>c</t>
  </si>
  <si>
    <t>d</t>
  </si>
  <si>
    <t>e</t>
  </si>
  <si>
    <t>f</t>
  </si>
  <si>
    <t>g</t>
  </si>
  <si>
    <t>a+b+d+f</t>
  </si>
  <si>
    <t>a+c+e+g</t>
  </si>
  <si>
    <t>b+f</t>
  </si>
  <si>
    <t xml:space="preserve"> -c-g</t>
  </si>
  <si>
    <t xml:space="preserve"> -e</t>
  </si>
  <si>
    <t>TABLAS DE AMORTIZACION PRESTAMOS</t>
  </si>
  <si>
    <t>FORMULA</t>
  </si>
  <si>
    <t>=-PMT(Interes%,Periodos,Capital)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</si>
</sst>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[Red]_(* \(#,##0\);_(* &quot;-&quot;??_);_(@_)"/>
    <numFmt numFmtId="165" formatCode="_-* #,##0.0_-;\-* #,##0.0_-;_-* &quot;-&quot;?_-;_-@_-"/>
    <numFmt numFmtId="166" formatCode="_(* #,##0.0_);[Red]_(* \(#,##0.0\);_(* &quot;-&quot;??_);_(@_)"/>
    <numFmt numFmtId="167" formatCode="_(* #,##0.00_);[Red]_(* \(#,##0.00\);_(* &quot;-&quot;??_);_(@_)"/>
    <numFmt numFmtId="168" formatCode="_(&quot;$&quot;* #,##0.00_);[Red]_(&quot;$&quot;* \(#,##0.00\);_(&quot;$&quot;* &quot;-&quot;??_);_(@_)"/>
    <numFmt numFmtId="169" formatCode="0.000%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_-* #,##0.0000_-;\-* #,##0.0000_-;_-* &quot;-&quot;????_-;_-@_-"/>
    <numFmt numFmtId="176" formatCode="0.0%"/>
    <numFmt numFmtId="177" formatCode="_(* #,##0.000_);[Red]_(* \(#,##0.0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 horizontal="left"/>
    </xf>
    <xf numFmtId="164" fontId="1" fillId="0" borderId="0" xfId="0" applyNumberFormat="1" applyFont="1" applyAlignment="1">
      <alignment/>
    </xf>
    <xf numFmtId="15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" fontId="1" fillId="0" borderId="0" xfId="0" applyNumberFormat="1" applyFont="1" applyAlignment="1">
      <alignment horizontal="left"/>
    </xf>
    <xf numFmtId="168" fontId="0" fillId="0" borderId="0" xfId="0" applyNumberFormat="1" applyAlignment="1">
      <alignment/>
    </xf>
    <xf numFmtId="0" fontId="0" fillId="0" borderId="1" xfId="0" applyBorder="1" applyAlignment="1" quotePrefix="1">
      <alignment horizontal="left"/>
    </xf>
    <xf numFmtId="0" fontId="0" fillId="0" borderId="1" xfId="0" applyBorder="1" applyAlignment="1">
      <alignment/>
    </xf>
    <xf numFmtId="168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164" fontId="3" fillId="0" borderId="0" xfId="0" applyNumberFormat="1" applyFont="1" applyAlignment="1" applyProtection="1">
      <alignment/>
      <protection locked="0"/>
    </xf>
    <xf numFmtId="18" fontId="0" fillId="0" borderId="0" xfId="0" applyNumberFormat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17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68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68" fontId="0" fillId="0" borderId="1" xfId="0" applyNumberFormat="1" applyFont="1" applyBorder="1" applyAlignment="1">
      <alignment/>
    </xf>
    <xf numFmtId="17" fontId="0" fillId="0" borderId="1" xfId="0" applyNumberFormat="1" applyFont="1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 quotePrefix="1">
      <alignment horizontal="left"/>
    </xf>
    <xf numFmtId="164" fontId="2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167" fontId="0" fillId="0" borderId="0" xfId="0" applyNumberFormat="1" applyAlignment="1">
      <alignment/>
    </xf>
    <xf numFmtId="0" fontId="0" fillId="0" borderId="2" xfId="0" applyBorder="1" applyAlignment="1" quotePrefix="1">
      <alignment horizontal="left"/>
    </xf>
    <xf numFmtId="168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9" fontId="3" fillId="0" borderId="0" xfId="0" applyNumberFormat="1" applyFont="1" applyAlignment="1" applyProtection="1">
      <alignment/>
      <protection locked="0"/>
    </xf>
    <xf numFmtId="10" fontId="0" fillId="0" borderId="0" xfId="0" applyNumberForma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0" fillId="0" borderId="0" xfId="0" applyFill="1" applyBorder="1" applyAlignment="1" quotePrefix="1">
      <alignment horizontal="left"/>
    </xf>
    <xf numFmtId="167" fontId="2" fillId="0" borderId="0" xfId="0" applyNumberFormat="1" applyFont="1" applyAlignment="1">
      <alignment/>
    </xf>
    <xf numFmtId="168" fontId="3" fillId="0" borderId="0" xfId="0" applyNumberFormat="1" applyFont="1" applyAlignment="1" applyProtection="1">
      <alignment/>
      <protection locked="0"/>
    </xf>
    <xf numFmtId="43" fontId="0" fillId="0" borderId="0" xfId="0" applyNumberFormat="1" applyAlignment="1">
      <alignment/>
    </xf>
    <xf numFmtId="0" fontId="0" fillId="0" borderId="0" xfId="0" applyNumberFormat="1" applyFont="1" applyAlignment="1" quotePrefix="1">
      <alignment horizontal="left"/>
    </xf>
    <xf numFmtId="167" fontId="0" fillId="0" borderId="3" xfId="0" applyNumberFormat="1" applyBorder="1" applyAlignment="1">
      <alignment/>
    </xf>
    <xf numFmtId="0" fontId="3" fillId="0" borderId="0" xfId="0" applyFont="1" applyAlignment="1" applyProtection="1">
      <alignment/>
      <protection locked="0"/>
    </xf>
    <xf numFmtId="2" fontId="0" fillId="0" borderId="0" xfId="0" applyNumberFormat="1" applyAlignment="1">
      <alignment/>
    </xf>
    <xf numFmtId="9" fontId="0" fillId="0" borderId="0" xfId="0" applyNumberFormat="1" applyFont="1" applyAlignment="1" applyProtection="1">
      <alignment/>
      <protection/>
    </xf>
    <xf numFmtId="168" fontId="3" fillId="0" borderId="1" xfId="0" applyNumberFormat="1" applyFont="1" applyBorder="1" applyAlignment="1" applyProtection="1">
      <alignment/>
      <protection locked="0"/>
    </xf>
    <xf numFmtId="17" fontId="4" fillId="0" borderId="0" xfId="0" applyNumberFormat="1" applyFont="1" applyAlignment="1">
      <alignment horizontal="center"/>
    </xf>
    <xf numFmtId="0" fontId="0" fillId="0" borderId="3" xfId="0" applyBorder="1" applyAlignment="1">
      <alignment/>
    </xf>
    <xf numFmtId="168" fontId="0" fillId="0" borderId="3" xfId="0" applyNumberFormat="1" applyBorder="1" applyAlignment="1">
      <alignment/>
    </xf>
    <xf numFmtId="0" fontId="0" fillId="0" borderId="0" xfId="0" applyFont="1" applyBorder="1" applyAlignment="1">
      <alignment/>
    </xf>
    <xf numFmtId="168" fontId="3" fillId="0" borderId="0" xfId="0" applyNumberFormat="1" applyFont="1" applyBorder="1" applyAlignment="1" applyProtection="1">
      <alignment/>
      <protection locked="0"/>
    </xf>
    <xf numFmtId="168" fontId="0" fillId="0" borderId="0" xfId="0" applyNumberFormat="1" applyFont="1" applyBorder="1" applyAlignment="1">
      <alignment/>
    </xf>
    <xf numFmtId="0" fontId="3" fillId="0" borderId="0" xfId="0" applyFont="1" applyAlignment="1" applyProtection="1" quotePrefix="1">
      <alignment horizontal="left"/>
      <protection locked="0"/>
    </xf>
    <xf numFmtId="164" fontId="0" fillId="0" borderId="1" xfId="0" applyNumberFormat="1" applyBorder="1" applyAlignment="1">
      <alignment/>
    </xf>
    <xf numFmtId="167" fontId="0" fillId="0" borderId="1" xfId="0" applyNumberFormat="1" applyBorder="1" applyAlignment="1">
      <alignment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Fill="1" applyBorder="1" applyAlignment="1">
      <alignment/>
    </xf>
    <xf numFmtId="18" fontId="0" fillId="0" borderId="1" xfId="0" applyNumberFormat="1" applyBorder="1" applyAlignment="1" quotePrefix="1">
      <alignment horizontal="left"/>
    </xf>
    <xf numFmtId="0" fontId="0" fillId="0" borderId="3" xfId="0" applyFill="1" applyBorder="1" applyAlignment="1">
      <alignment horizontal="left"/>
    </xf>
    <xf numFmtId="0" fontId="0" fillId="0" borderId="3" xfId="0" applyBorder="1" applyAlignment="1" quotePrefix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4" xfId="0" applyFont="1" applyBorder="1" applyAlignment="1" quotePrefix="1">
      <alignment horizontal="center"/>
    </xf>
    <xf numFmtId="0" fontId="3" fillId="0" borderId="0" xfId="0" applyFont="1" applyBorder="1" applyAlignment="1" applyProtection="1">
      <alignment/>
      <protection locked="0"/>
    </xf>
    <xf numFmtId="164" fontId="0" fillId="0" borderId="5" xfId="0" applyNumberFormat="1" applyBorder="1" applyAlignment="1">
      <alignment/>
    </xf>
    <xf numFmtId="164" fontId="3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Border="1" applyAlignment="1">
      <alignment/>
    </xf>
    <xf numFmtId="164" fontId="0" fillId="0" borderId="4" xfId="0" applyNumberFormat="1" applyBorder="1" applyAlignment="1">
      <alignment/>
    </xf>
    <xf numFmtId="9" fontId="0" fillId="0" borderId="0" xfId="0" applyNumberFormat="1" applyAlignment="1">
      <alignment/>
    </xf>
    <xf numFmtId="9" fontId="0" fillId="0" borderId="1" xfId="0" applyNumberFormat="1" applyBorder="1" applyAlignment="1">
      <alignment/>
    </xf>
    <xf numFmtId="0" fontId="0" fillId="0" borderId="1" xfId="0" applyFill="1" applyBorder="1" applyAlignment="1" quotePrefix="1">
      <alignment horizontal="left"/>
    </xf>
    <xf numFmtId="0" fontId="4" fillId="0" borderId="0" xfId="0" applyFont="1" applyFill="1" applyBorder="1" applyAlignment="1">
      <alignment horizontal="center"/>
    </xf>
    <xf numFmtId="167" fontId="0" fillId="0" borderId="0" xfId="0" applyNumberFormat="1" applyBorder="1" applyAlignment="1">
      <alignment/>
    </xf>
    <xf numFmtId="168" fontId="0" fillId="0" borderId="1" xfId="0" applyNumberFormat="1" applyFont="1" applyBorder="1" applyAlignment="1" applyProtection="1">
      <alignment/>
      <protection/>
    </xf>
    <xf numFmtId="168" fontId="0" fillId="0" borderId="0" xfId="0" applyNumberFormat="1" applyFont="1" applyBorder="1" applyAlignment="1" applyProtection="1">
      <alignment/>
      <protection/>
    </xf>
    <xf numFmtId="0" fontId="0" fillId="0" borderId="1" xfId="0" applyFill="1" applyBorder="1" applyAlignment="1">
      <alignment horizontal="left"/>
    </xf>
    <xf numFmtId="164" fontId="0" fillId="0" borderId="0" xfId="0" applyNumberFormat="1" applyFont="1" applyBorder="1" applyAlignment="1" applyProtection="1">
      <alignment/>
      <protection/>
    </xf>
    <xf numFmtId="167" fontId="0" fillId="0" borderId="5" xfId="0" applyNumberFormat="1" applyBorder="1" applyAlignment="1">
      <alignment/>
    </xf>
    <xf numFmtId="167" fontId="3" fillId="0" borderId="0" xfId="0" applyNumberFormat="1" applyFont="1" applyBorder="1" applyAlignment="1" applyProtection="1">
      <alignment/>
      <protection locked="0"/>
    </xf>
    <xf numFmtId="167" fontId="0" fillId="0" borderId="4" xfId="0" applyNumberFormat="1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0" borderId="5" xfId="0" applyFont="1" applyBorder="1" applyAlignment="1" applyProtection="1">
      <alignment/>
      <protection locked="0"/>
    </xf>
    <xf numFmtId="0" fontId="3" fillId="0" borderId="4" xfId="0" applyFont="1" applyBorder="1" applyAlignment="1" applyProtection="1">
      <alignment/>
      <protection locked="0"/>
    </xf>
    <xf numFmtId="0" fontId="3" fillId="0" borderId="6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43" fontId="0" fillId="0" borderId="5" xfId="0" applyNumberFormat="1" applyBorder="1" applyAlignment="1">
      <alignment/>
    </xf>
    <xf numFmtId="43" fontId="0" fillId="0" borderId="0" xfId="0" applyNumberFormat="1" applyBorder="1" applyAlignment="1">
      <alignment/>
    </xf>
    <xf numFmtId="43" fontId="0" fillId="0" borderId="6" xfId="0" applyNumberFormat="1" applyBorder="1" applyAlignment="1">
      <alignment/>
    </xf>
    <xf numFmtId="43" fontId="0" fillId="0" borderId="2" xfId="0" applyNumberFormat="1" applyBorder="1" applyAlignment="1">
      <alignment/>
    </xf>
    <xf numFmtId="167" fontId="0" fillId="0" borderId="6" xfId="0" applyNumberFormat="1" applyBorder="1" applyAlignment="1">
      <alignment/>
    </xf>
    <xf numFmtId="167" fontId="3" fillId="0" borderId="2" xfId="0" applyNumberFormat="1" applyFont="1" applyBorder="1" applyAlignment="1" applyProtection="1">
      <alignment/>
      <protection locked="0"/>
    </xf>
    <xf numFmtId="167" fontId="0" fillId="0" borderId="2" xfId="0" applyNumberFormat="1" applyBorder="1" applyAlignment="1">
      <alignment/>
    </xf>
    <xf numFmtId="167" fontId="0" fillId="0" borderId="7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3" fillId="0" borderId="2" xfId="0" applyNumberFormat="1" applyFont="1" applyBorder="1" applyAlignment="1" applyProtection="1">
      <alignment/>
      <protection locked="0"/>
    </xf>
    <xf numFmtId="164" fontId="0" fillId="0" borderId="2" xfId="0" applyNumberFormat="1" applyBorder="1" applyAlignment="1">
      <alignment/>
    </xf>
    <xf numFmtId="164" fontId="0" fillId="0" borderId="2" xfId="0" applyNumberFormat="1" applyFont="1" applyBorder="1" applyAlignment="1" applyProtection="1">
      <alignment/>
      <protection/>
    </xf>
    <xf numFmtId="168" fontId="0" fillId="0" borderId="4" xfId="0" applyNumberFormat="1" applyBorder="1" applyAlignment="1">
      <alignment/>
    </xf>
    <xf numFmtId="168" fontId="0" fillId="0" borderId="7" xfId="0" applyNumberFormat="1" applyBorder="1" applyAlignment="1">
      <alignment/>
    </xf>
    <xf numFmtId="1" fontId="3" fillId="0" borderId="4" xfId="0" applyNumberFormat="1" applyFont="1" applyBorder="1" applyAlignment="1" applyProtection="1">
      <alignment/>
      <protection locked="0"/>
    </xf>
    <xf numFmtId="0" fontId="2" fillId="0" borderId="0" xfId="0" applyNumberFormat="1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Alignment="1" quotePrefix="1">
      <alignment horizontal="right"/>
    </xf>
    <xf numFmtId="0" fontId="1" fillId="0" borderId="0" xfId="0" applyFont="1" applyAlignment="1" quotePrefix="1">
      <alignment/>
    </xf>
    <xf numFmtId="167" fontId="0" fillId="0" borderId="8" xfId="0" applyNumberFormat="1" applyBorder="1" applyAlignment="1">
      <alignment/>
    </xf>
    <xf numFmtId="167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 quotePrefix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5" xfId="0" applyFont="1" applyBorder="1" applyAlignment="1" quotePrefix="1">
      <alignment horizontal="center"/>
    </xf>
    <xf numFmtId="164" fontId="0" fillId="0" borderId="7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 quotePrefix="1">
      <alignment horizontal="center"/>
    </xf>
    <xf numFmtId="0" fontId="4" fillId="0" borderId="1" xfId="0" applyFont="1" applyBorder="1" applyAlignment="1" quotePrefix="1">
      <alignment horizontal="center"/>
    </xf>
    <xf numFmtId="0" fontId="4" fillId="0" borderId="11" xfId="0" applyFont="1" applyBorder="1" applyAlignment="1" quotePrefix="1">
      <alignment horizontal="center"/>
    </xf>
    <xf numFmtId="0" fontId="0" fillId="0" borderId="0" xfId="0" applyAlignment="1">
      <alignment horizontal="center" vertical="center" textRotation="90"/>
    </xf>
    <xf numFmtId="168" fontId="0" fillId="0" borderId="0" xfId="0" applyNumberFormat="1" applyAlignment="1">
      <alignment horizontal="center" textRotation="90"/>
    </xf>
    <xf numFmtId="0" fontId="0" fillId="0" borderId="0" xfId="0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12.140625" style="0" customWidth="1"/>
    <col min="2" max="2" width="4.28125" style="0" bestFit="1" customWidth="1"/>
    <col min="3" max="6" width="9.28125" style="0" bestFit="1" customWidth="1"/>
  </cols>
  <sheetData>
    <row r="1" ht="12.75">
      <c r="A1" s="2" t="s">
        <v>393</v>
      </c>
    </row>
    <row r="2" ht="12.75">
      <c r="A2" s="2"/>
    </row>
    <row r="3" spans="3:6" ht="12.75">
      <c r="C3" s="52">
        <v>37226</v>
      </c>
      <c r="D3" s="52">
        <v>37257</v>
      </c>
      <c r="E3" s="52">
        <v>37288</v>
      </c>
      <c r="F3" s="52">
        <v>37316</v>
      </c>
    </row>
    <row r="4" spans="3:6" ht="12.75">
      <c r="C4" s="130" t="s">
        <v>270</v>
      </c>
      <c r="D4" s="130"/>
      <c r="E4" s="130"/>
      <c r="F4" s="130"/>
    </row>
    <row r="5" spans="1:6" ht="12.75">
      <c r="A5" s="4" t="s">
        <v>266</v>
      </c>
      <c r="C5" s="1">
        <v>31</v>
      </c>
      <c r="D5" s="1">
        <v>31</v>
      </c>
      <c r="E5" s="1">
        <v>28</v>
      </c>
      <c r="F5" s="1">
        <v>15</v>
      </c>
    </row>
    <row r="6" spans="1:6" ht="12.75">
      <c r="A6" s="4" t="s">
        <v>267</v>
      </c>
      <c r="C6" s="1">
        <v>31</v>
      </c>
      <c r="D6" s="1">
        <v>31</v>
      </c>
      <c r="E6" s="1">
        <v>28</v>
      </c>
      <c r="F6" s="1">
        <v>31</v>
      </c>
    </row>
    <row r="7" spans="1:6" ht="12.75">
      <c r="A7" s="4" t="s">
        <v>268</v>
      </c>
      <c r="C7" s="1">
        <v>0</v>
      </c>
      <c r="D7" s="1">
        <v>0</v>
      </c>
      <c r="E7" s="1">
        <v>0</v>
      </c>
      <c r="F7" s="1">
        <f>31-F5</f>
        <v>16</v>
      </c>
    </row>
    <row r="8" spans="1:6" ht="12.75">
      <c r="A8" s="4" t="s">
        <v>269</v>
      </c>
      <c r="C8" s="1">
        <v>0</v>
      </c>
      <c r="D8" s="1">
        <v>0</v>
      </c>
      <c r="E8" s="1">
        <v>0</v>
      </c>
      <c r="F8" s="1">
        <f>31-F6</f>
        <v>0</v>
      </c>
    </row>
    <row r="9" ht="12.75">
      <c r="A9" s="7"/>
    </row>
    <row r="10" spans="2:6" ht="12.75">
      <c r="B10" t="s">
        <v>156</v>
      </c>
      <c r="C10" s="131" t="s">
        <v>271</v>
      </c>
      <c r="D10" s="130"/>
      <c r="E10" s="130"/>
      <c r="F10" s="130"/>
    </row>
    <row r="11" spans="1:6" ht="12.75">
      <c r="A11" s="4" t="s">
        <v>266</v>
      </c>
      <c r="B11">
        <v>2</v>
      </c>
      <c r="C11" s="1">
        <f aca="true" t="shared" si="0" ref="C11:F12">$B11*C5</f>
        <v>62</v>
      </c>
      <c r="D11" s="1">
        <f t="shared" si="0"/>
        <v>62</v>
      </c>
      <c r="E11" s="1">
        <f t="shared" si="0"/>
        <v>56</v>
      </c>
      <c r="F11" s="1">
        <f t="shared" si="0"/>
        <v>30</v>
      </c>
    </row>
    <row r="12" spans="1:6" ht="12.75">
      <c r="A12" s="4" t="s">
        <v>267</v>
      </c>
      <c r="B12">
        <v>3</v>
      </c>
      <c r="C12" s="1">
        <f t="shared" si="0"/>
        <v>93</v>
      </c>
      <c r="D12" s="1">
        <f t="shared" si="0"/>
        <v>93</v>
      </c>
      <c r="E12" s="1">
        <f t="shared" si="0"/>
        <v>84</v>
      </c>
      <c r="F12" s="1">
        <f t="shared" si="0"/>
        <v>93</v>
      </c>
    </row>
    <row r="13" spans="1:6" ht="12.75">
      <c r="A13" s="4" t="s">
        <v>268</v>
      </c>
      <c r="B13">
        <v>2</v>
      </c>
      <c r="C13" s="1">
        <f aca="true" t="shared" si="1" ref="C13:F14">$B13*C7</f>
        <v>0</v>
      </c>
      <c r="D13" s="1">
        <f t="shared" si="1"/>
        <v>0</v>
      </c>
      <c r="E13" s="1">
        <f t="shared" si="1"/>
        <v>0</v>
      </c>
      <c r="F13" s="1">
        <f t="shared" si="1"/>
        <v>32</v>
      </c>
    </row>
    <row r="14" spans="1:6" ht="12.75">
      <c r="A14" s="4" t="s">
        <v>269</v>
      </c>
      <c r="B14">
        <v>3</v>
      </c>
      <c r="C14" s="1">
        <f t="shared" si="1"/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</row>
    <row r="15" spans="1:6" ht="12.75">
      <c r="A15" s="7" t="s">
        <v>163</v>
      </c>
      <c r="C15" s="59">
        <f>SUM(C11:C14)</f>
        <v>155</v>
      </c>
      <c r="D15" s="59">
        <f>SUM(D11:D14)</f>
        <v>155</v>
      </c>
      <c r="E15" s="59">
        <f>SUM(E11:E14)</f>
        <v>140</v>
      </c>
      <c r="F15" s="59">
        <f>SUM(F11:F14)</f>
        <v>155</v>
      </c>
    </row>
    <row r="17" spans="3:6" ht="12.75">
      <c r="C17" s="130" t="s">
        <v>272</v>
      </c>
      <c r="D17" s="130"/>
      <c r="E17" s="130"/>
      <c r="F17" s="130"/>
    </row>
    <row r="18" spans="1:6" ht="12.75">
      <c r="A18" s="4" t="s">
        <v>266</v>
      </c>
      <c r="C18" s="78">
        <f aca="true" t="shared" si="2" ref="C18:F19">ROUND(C11/C$15,2)</f>
        <v>0.4</v>
      </c>
      <c r="D18" s="78">
        <f t="shared" si="2"/>
        <v>0.4</v>
      </c>
      <c r="E18" s="78">
        <f t="shared" si="2"/>
        <v>0.4</v>
      </c>
      <c r="F18" s="78">
        <f t="shared" si="2"/>
        <v>0.19</v>
      </c>
    </row>
    <row r="19" spans="1:6" ht="12.75">
      <c r="A19" s="4" t="s">
        <v>267</v>
      </c>
      <c r="C19" s="78">
        <f t="shared" si="2"/>
        <v>0.6</v>
      </c>
      <c r="D19" s="78">
        <f t="shared" si="2"/>
        <v>0.6</v>
      </c>
      <c r="E19" s="78">
        <f t="shared" si="2"/>
        <v>0.6</v>
      </c>
      <c r="F19" s="78">
        <f t="shared" si="2"/>
        <v>0.6</v>
      </c>
    </row>
    <row r="20" spans="1:6" ht="12.75">
      <c r="A20" s="4" t="s">
        <v>268</v>
      </c>
      <c r="C20" s="78">
        <f aca="true" t="shared" si="3" ref="C20:F21">ROUND(C13/C$15,2)</f>
        <v>0</v>
      </c>
      <c r="D20" s="78">
        <f t="shared" si="3"/>
        <v>0</v>
      </c>
      <c r="E20" s="78">
        <f t="shared" si="3"/>
        <v>0</v>
      </c>
      <c r="F20" s="78">
        <f t="shared" si="3"/>
        <v>0.21</v>
      </c>
    </row>
    <row r="21" spans="1:6" ht="12.75">
      <c r="A21" s="4" t="s">
        <v>269</v>
      </c>
      <c r="C21" s="78">
        <f t="shared" si="3"/>
        <v>0</v>
      </c>
      <c r="D21" s="78">
        <f t="shared" si="3"/>
        <v>0</v>
      </c>
      <c r="E21" s="78">
        <f t="shared" si="3"/>
        <v>0</v>
      </c>
      <c r="F21" s="78">
        <f t="shared" si="3"/>
        <v>0</v>
      </c>
    </row>
    <row r="22" spans="3:6" ht="12.75">
      <c r="C22" s="79">
        <f>SUM(C18:C21)</f>
        <v>1</v>
      </c>
      <c r="D22" s="79">
        <f>SUM(D18:D21)</f>
        <v>1</v>
      </c>
      <c r="E22" s="79">
        <f>SUM(E18:E21)</f>
        <v>1</v>
      </c>
      <c r="F22" s="79">
        <f>SUM(F18:F21)</f>
        <v>1</v>
      </c>
    </row>
    <row r="24" spans="1:7" ht="12.75">
      <c r="A24" s="118"/>
      <c r="B24" s="11"/>
      <c r="C24" s="128" t="s">
        <v>391</v>
      </c>
      <c r="D24" s="128"/>
      <c r="E24" s="128"/>
      <c r="F24" s="128"/>
      <c r="G24" s="119"/>
    </row>
    <row r="25" spans="1:7" ht="12.75">
      <c r="A25" s="120" t="s">
        <v>278</v>
      </c>
      <c r="B25" s="25"/>
      <c r="C25" s="76">
        <v>900</v>
      </c>
      <c r="D25" s="76">
        <v>1000</v>
      </c>
      <c r="E25" s="76">
        <v>1800</v>
      </c>
      <c r="F25" s="76">
        <v>800</v>
      </c>
      <c r="G25" s="121"/>
    </row>
    <row r="26" spans="1:7" ht="12.75">
      <c r="A26" s="122" t="s">
        <v>392</v>
      </c>
      <c r="B26" s="25"/>
      <c r="C26" s="76">
        <v>1200</v>
      </c>
      <c r="D26" s="76">
        <v>1250</v>
      </c>
      <c r="E26" s="76">
        <v>1900</v>
      </c>
      <c r="F26" s="76">
        <v>1000</v>
      </c>
      <c r="G26" s="121"/>
    </row>
    <row r="27" spans="1:7" ht="12.75">
      <c r="A27" s="123" t="s">
        <v>163</v>
      </c>
      <c r="B27" s="25"/>
      <c r="C27" s="59">
        <f>SUM(C25:C26)</f>
        <v>2100</v>
      </c>
      <c r="D27" s="59">
        <f>SUM(D25:D26)</f>
        <v>2250</v>
      </c>
      <c r="E27" s="59">
        <f>SUM(E25:E26)</f>
        <v>3700</v>
      </c>
      <c r="F27" s="59">
        <f>SUM(F25:F26)</f>
        <v>1800</v>
      </c>
      <c r="G27" s="121"/>
    </row>
    <row r="28" spans="1:7" ht="12.75">
      <c r="A28" s="123"/>
      <c r="B28" s="25"/>
      <c r="C28" s="25"/>
      <c r="D28" s="25"/>
      <c r="E28" s="25"/>
      <c r="F28" s="25"/>
      <c r="G28" s="121"/>
    </row>
    <row r="29" spans="1:7" ht="12.75">
      <c r="A29" s="123"/>
      <c r="B29" s="25"/>
      <c r="C29" s="129" t="s">
        <v>273</v>
      </c>
      <c r="D29" s="129"/>
      <c r="E29" s="129"/>
      <c r="F29" s="129"/>
      <c r="G29" s="121"/>
    </row>
    <row r="30" spans="1:7" ht="12.75">
      <c r="A30" s="120" t="s">
        <v>266</v>
      </c>
      <c r="B30" s="25"/>
      <c r="C30" s="82">
        <f aca="true" t="shared" si="4" ref="C30:F33">C$27*C18</f>
        <v>840</v>
      </c>
      <c r="D30" s="82">
        <f t="shared" si="4"/>
        <v>900</v>
      </c>
      <c r="E30" s="82">
        <f t="shared" si="4"/>
        <v>1480</v>
      </c>
      <c r="F30" s="82">
        <f t="shared" si="4"/>
        <v>342</v>
      </c>
      <c r="G30" s="121"/>
    </row>
    <row r="31" spans="1:7" ht="12.75">
      <c r="A31" s="120" t="s">
        <v>267</v>
      </c>
      <c r="B31" s="25"/>
      <c r="C31" s="82">
        <f t="shared" si="4"/>
        <v>1260</v>
      </c>
      <c r="D31" s="82">
        <f t="shared" si="4"/>
        <v>1350</v>
      </c>
      <c r="E31" s="82">
        <f t="shared" si="4"/>
        <v>2220</v>
      </c>
      <c r="F31" s="82">
        <f t="shared" si="4"/>
        <v>1080</v>
      </c>
      <c r="G31" s="121"/>
    </row>
    <row r="32" spans="1:7" ht="12.75">
      <c r="A32" s="120" t="s">
        <v>268</v>
      </c>
      <c r="B32" s="25"/>
      <c r="C32" s="82">
        <f t="shared" si="4"/>
        <v>0</v>
      </c>
      <c r="D32" s="82">
        <f t="shared" si="4"/>
        <v>0</v>
      </c>
      <c r="E32" s="82">
        <f t="shared" si="4"/>
        <v>0</v>
      </c>
      <c r="F32" s="82">
        <f t="shared" si="4"/>
        <v>378</v>
      </c>
      <c r="G32" s="121"/>
    </row>
    <row r="33" spans="1:7" ht="12.75">
      <c r="A33" s="120" t="s">
        <v>269</v>
      </c>
      <c r="B33" s="25"/>
      <c r="C33" s="82">
        <f t="shared" si="4"/>
        <v>0</v>
      </c>
      <c r="D33" s="82">
        <f t="shared" si="4"/>
        <v>0</v>
      </c>
      <c r="E33" s="82">
        <f t="shared" si="4"/>
        <v>0</v>
      </c>
      <c r="F33" s="82">
        <f t="shared" si="4"/>
        <v>0</v>
      </c>
      <c r="G33" s="121"/>
    </row>
    <row r="34" spans="1:7" ht="12.75">
      <c r="A34" s="123"/>
      <c r="B34" s="25"/>
      <c r="C34" s="60">
        <f>SUM(C30:C33)</f>
        <v>2100</v>
      </c>
      <c r="D34" s="60">
        <f>SUM(D30:D33)</f>
        <v>2250</v>
      </c>
      <c r="E34" s="60">
        <f>SUM(E30:E33)</f>
        <v>3700</v>
      </c>
      <c r="F34" s="60">
        <f>SUM(F30:F33)</f>
        <v>1800</v>
      </c>
      <c r="G34" s="121"/>
    </row>
    <row r="35" spans="1:7" ht="12.75">
      <c r="A35" s="124"/>
      <c r="B35" s="37"/>
      <c r="C35" s="37"/>
      <c r="D35" s="37"/>
      <c r="E35" s="37"/>
      <c r="F35" s="37"/>
      <c r="G35" s="125"/>
    </row>
    <row r="36" spans="1:7" ht="12.75">
      <c r="A36" s="118"/>
      <c r="B36" s="11"/>
      <c r="C36" s="128" t="s">
        <v>284</v>
      </c>
      <c r="D36" s="128"/>
      <c r="E36" s="128"/>
      <c r="F36" s="128"/>
      <c r="G36" s="119"/>
    </row>
    <row r="37" spans="1:7" ht="12.75">
      <c r="A37" s="123" t="s">
        <v>163</v>
      </c>
      <c r="B37" s="25"/>
      <c r="C37" s="82">
        <f>'M.O.'!E44</f>
        <v>1027.4416666666668</v>
      </c>
      <c r="D37" s="82">
        <f>'M.O.'!F44</f>
        <v>1027.4416666666668</v>
      </c>
      <c r="E37" s="82">
        <f>'M.O.'!G44</f>
        <v>1027.4416666666668</v>
      </c>
      <c r="F37" s="82">
        <f>'M.O.'!H44</f>
        <v>1027.4416666666668</v>
      </c>
      <c r="G37" s="121"/>
    </row>
    <row r="38" spans="1:7" ht="12.75">
      <c r="A38" s="123"/>
      <c r="B38" s="25"/>
      <c r="C38" s="82"/>
      <c r="D38" s="82"/>
      <c r="E38" s="82"/>
      <c r="F38" s="82"/>
      <c r="G38" s="121"/>
    </row>
    <row r="39" spans="1:7" ht="12.75">
      <c r="A39" s="123"/>
      <c r="B39" s="25"/>
      <c r="C39" s="25"/>
      <c r="D39" s="25"/>
      <c r="E39" s="25"/>
      <c r="F39" s="25"/>
      <c r="G39" s="121"/>
    </row>
    <row r="40" spans="1:7" ht="12.75">
      <c r="A40" s="123"/>
      <c r="B40" s="25"/>
      <c r="C40" s="129" t="s">
        <v>273</v>
      </c>
      <c r="D40" s="129"/>
      <c r="E40" s="129"/>
      <c r="F40" s="129"/>
      <c r="G40" s="121"/>
    </row>
    <row r="41" spans="1:7" ht="12.75">
      <c r="A41" s="120" t="s">
        <v>266</v>
      </c>
      <c r="B41" s="25"/>
      <c r="C41" s="82">
        <f aca="true" t="shared" si="5" ref="C41:F44">C$37*C18</f>
        <v>410.97666666666674</v>
      </c>
      <c r="D41" s="82">
        <f t="shared" si="5"/>
        <v>410.97666666666674</v>
      </c>
      <c r="E41" s="82">
        <f t="shared" si="5"/>
        <v>410.97666666666674</v>
      </c>
      <c r="F41" s="82">
        <f t="shared" si="5"/>
        <v>195.2139166666667</v>
      </c>
      <c r="G41" s="121"/>
    </row>
    <row r="42" spans="1:7" ht="12.75">
      <c r="A42" s="120" t="s">
        <v>267</v>
      </c>
      <c r="B42" s="25"/>
      <c r="C42" s="82">
        <f t="shared" si="5"/>
        <v>616.465</v>
      </c>
      <c r="D42" s="82">
        <f t="shared" si="5"/>
        <v>616.465</v>
      </c>
      <c r="E42" s="82">
        <f t="shared" si="5"/>
        <v>616.465</v>
      </c>
      <c r="F42" s="82">
        <f t="shared" si="5"/>
        <v>616.465</v>
      </c>
      <c r="G42" s="121"/>
    </row>
    <row r="43" spans="1:7" ht="12.75">
      <c r="A43" s="120" t="s">
        <v>268</v>
      </c>
      <c r="B43" s="25"/>
      <c r="C43" s="82">
        <f t="shared" si="5"/>
        <v>0</v>
      </c>
      <c r="D43" s="82">
        <f t="shared" si="5"/>
        <v>0</v>
      </c>
      <c r="E43" s="82">
        <f t="shared" si="5"/>
        <v>0</v>
      </c>
      <c r="F43" s="82">
        <f t="shared" si="5"/>
        <v>215.76275000000004</v>
      </c>
      <c r="G43" s="121"/>
    </row>
    <row r="44" spans="1:7" ht="12.75">
      <c r="A44" s="120" t="s">
        <v>269</v>
      </c>
      <c r="B44" s="25"/>
      <c r="C44" s="82">
        <f t="shared" si="5"/>
        <v>0</v>
      </c>
      <c r="D44" s="82">
        <f t="shared" si="5"/>
        <v>0</v>
      </c>
      <c r="E44" s="82">
        <f t="shared" si="5"/>
        <v>0</v>
      </c>
      <c r="F44" s="82">
        <f t="shared" si="5"/>
        <v>0</v>
      </c>
      <c r="G44" s="121"/>
    </row>
    <row r="45" spans="1:7" ht="12.75">
      <c r="A45" s="123"/>
      <c r="B45" s="25"/>
      <c r="C45" s="60">
        <f>SUM(C41:C44)</f>
        <v>1027.4416666666668</v>
      </c>
      <c r="D45" s="60">
        <f>SUM(D41:D44)</f>
        <v>1027.4416666666668</v>
      </c>
      <c r="E45" s="60">
        <f>SUM(E41:E44)</f>
        <v>1027.4416666666668</v>
      </c>
      <c r="F45" s="60">
        <f>SUM(F41:F44)</f>
        <v>1027.4416666666668</v>
      </c>
      <c r="G45" s="121"/>
    </row>
    <row r="46" spans="1:7" ht="12.75">
      <c r="A46" s="124"/>
      <c r="B46" s="37"/>
      <c r="C46" s="37"/>
      <c r="D46" s="37"/>
      <c r="E46" s="37"/>
      <c r="F46" s="37"/>
      <c r="G46" s="125"/>
    </row>
  </sheetData>
  <mergeCells count="7">
    <mergeCell ref="C24:F24"/>
    <mergeCell ref="C36:F36"/>
    <mergeCell ref="C40:F40"/>
    <mergeCell ref="C4:F4"/>
    <mergeCell ref="C10:F10"/>
    <mergeCell ref="C17:F17"/>
    <mergeCell ref="C29:F29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workbookViewId="0" topLeftCell="A1">
      <selection activeCell="A1" sqref="A1"/>
    </sheetView>
  </sheetViews>
  <sheetFormatPr defaultColWidth="9.140625" defaultRowHeight="12.75"/>
  <cols>
    <col min="1" max="2" width="1.7109375" style="2" customWidth="1"/>
    <col min="3" max="3" width="1.7109375" style="0" customWidth="1"/>
    <col min="4" max="4" width="10.140625" style="3" customWidth="1"/>
    <col min="5" max="5" width="11.28125" style="3" bestFit="1" customWidth="1"/>
    <col min="6" max="6" width="11.28125" style="34" bestFit="1" customWidth="1"/>
    <col min="7" max="8" width="1.7109375" style="2" customWidth="1"/>
    <col min="9" max="9" width="1.7109375" style="32" customWidth="1"/>
    <col min="10" max="10" width="24.57421875" style="3" customWidth="1"/>
    <col min="11" max="11" width="11.28125" style="34" bestFit="1" customWidth="1"/>
    <col min="12" max="12" width="9.8515625" style="0" bestFit="1" customWidth="1"/>
    <col min="16" max="16" width="4.7109375" style="0" customWidth="1"/>
    <col min="17" max="17" width="28.7109375" style="0" customWidth="1"/>
    <col min="18" max="19" width="12.7109375" style="0" customWidth="1"/>
  </cols>
  <sheetData>
    <row r="1" spans="1:19" ht="12.75">
      <c r="A1" s="2" t="s">
        <v>24</v>
      </c>
      <c r="P1" s="2" t="s">
        <v>24</v>
      </c>
      <c r="Q1" s="2"/>
      <c r="S1" s="3"/>
    </row>
    <row r="2" spans="1:19" ht="12.75">
      <c r="A2" s="2" t="s">
        <v>25</v>
      </c>
      <c r="P2" s="113" t="s">
        <v>377</v>
      </c>
      <c r="Q2" s="2"/>
      <c r="S2" s="3"/>
    </row>
    <row r="3" spans="1:17" ht="12.75">
      <c r="A3" s="2" t="s">
        <v>26</v>
      </c>
      <c r="D3" s="6">
        <v>37256</v>
      </c>
      <c r="E3" s="6"/>
      <c r="P3" s="2" t="s">
        <v>26</v>
      </c>
      <c r="Q3" s="6">
        <f>D3</f>
        <v>37256</v>
      </c>
    </row>
    <row r="4" spans="18:19" ht="12.75">
      <c r="R4" s="68" t="s">
        <v>204</v>
      </c>
      <c r="S4" s="68" t="s">
        <v>380</v>
      </c>
    </row>
    <row r="5" spans="1:19" ht="12.75">
      <c r="A5" s="2" t="s">
        <v>7</v>
      </c>
      <c r="G5" s="5" t="s">
        <v>15</v>
      </c>
      <c r="H5" s="5"/>
      <c r="J5" s="29"/>
      <c r="P5" s="2" t="s">
        <v>79</v>
      </c>
      <c r="R5" s="34"/>
      <c r="S5" s="34"/>
    </row>
    <row r="6" spans="2:19" ht="12.75">
      <c r="B6" s="2" t="s">
        <v>0</v>
      </c>
      <c r="G6" s="5"/>
      <c r="H6" s="5" t="s">
        <v>4</v>
      </c>
      <c r="J6" s="29"/>
      <c r="Q6" t="s">
        <v>378</v>
      </c>
      <c r="R6" s="34">
        <f>L30</f>
        <v>0</v>
      </c>
      <c r="S6" s="34">
        <f>K30</f>
        <v>0</v>
      </c>
    </row>
    <row r="7" spans="3:19" ht="12.75">
      <c r="C7" t="s">
        <v>1</v>
      </c>
      <c r="G7" s="5"/>
      <c r="H7" s="5"/>
      <c r="I7" s="33" t="s">
        <v>23</v>
      </c>
      <c r="J7" s="30"/>
      <c r="K7" s="34">
        <f>Nov01!K7-200-50</f>
        <v>1000</v>
      </c>
      <c r="Q7" s="114" t="s">
        <v>163</v>
      </c>
      <c r="R7" s="60">
        <f>SUM(R6)</f>
        <v>0</v>
      </c>
      <c r="S7" s="60">
        <f>SUM(S6)</f>
        <v>0</v>
      </c>
    </row>
    <row r="8" spans="4:19" ht="12.75">
      <c r="D8" s="3" t="s">
        <v>2</v>
      </c>
      <c r="F8" s="34">
        <f>Nov01!F8</f>
        <v>1000</v>
      </c>
      <c r="G8" s="5"/>
      <c r="H8" s="5"/>
      <c r="I8" s="32" t="s">
        <v>102</v>
      </c>
      <c r="J8" s="29"/>
      <c r="K8" s="34">
        <f>Nov01!K8-798.24</f>
        <v>8411.03</v>
      </c>
      <c r="R8" s="34"/>
      <c r="S8" s="34"/>
    </row>
    <row r="9" spans="4:19" ht="12.75">
      <c r="D9" s="3" t="s">
        <v>3</v>
      </c>
      <c r="F9" s="34">
        <f>Nov01!F9-1200-2250-900-320-2486.58-25000+40000+166.67-200-200-798.24-87.38-50-10000</f>
        <v>1002.0500000000011</v>
      </c>
      <c r="G9" s="5"/>
      <c r="H9" s="5"/>
      <c r="I9" s="33" t="s">
        <v>22</v>
      </c>
      <c r="J9" s="30"/>
      <c r="K9" s="34">
        <f>Nov01!K9+1200+2000-25000</f>
        <v>3200</v>
      </c>
      <c r="P9" s="113" t="s">
        <v>379</v>
      </c>
      <c r="R9" s="34"/>
      <c r="S9" s="34"/>
    </row>
    <row r="10" spans="3:19" ht="12.75">
      <c r="C10" s="4" t="s">
        <v>140</v>
      </c>
      <c r="F10" s="34">
        <f>Nov01!F10-40000+10000</f>
        <v>10000</v>
      </c>
      <c r="G10" s="5"/>
      <c r="H10" s="5"/>
      <c r="I10" s="32" t="s">
        <v>69</v>
      </c>
      <c r="J10" s="31"/>
      <c r="K10" s="34">
        <f>Nov01!K10</f>
        <v>3708</v>
      </c>
      <c r="Q10" t="s">
        <v>120</v>
      </c>
      <c r="R10" s="34">
        <f>-L32</f>
        <v>0</v>
      </c>
      <c r="S10" s="34">
        <f>-K32</f>
        <v>0</v>
      </c>
    </row>
    <row r="11" spans="3:19" ht="12.75">
      <c r="C11" s="4" t="s">
        <v>123</v>
      </c>
      <c r="F11" s="34">
        <f>Nov01!F11</f>
        <v>0</v>
      </c>
      <c r="G11" s="5"/>
      <c r="H11" s="5"/>
      <c r="I11" s="32" t="s">
        <v>91</v>
      </c>
      <c r="Q11" t="s">
        <v>121</v>
      </c>
      <c r="R11" s="34">
        <f>-L33</f>
        <v>0</v>
      </c>
      <c r="S11" s="34">
        <f>-K33</f>
        <v>0</v>
      </c>
    </row>
    <row r="12" spans="3:19" ht="12.75">
      <c r="C12" s="4" t="s">
        <v>8</v>
      </c>
      <c r="G12" s="5"/>
      <c r="H12" s="5"/>
      <c r="J12" s="3" t="s">
        <v>92</v>
      </c>
      <c r="K12" s="34">
        <f>Nov01!K12+175.5-187.5</f>
        <v>180.84000000000003</v>
      </c>
      <c r="Q12" t="s">
        <v>122</v>
      </c>
      <c r="R12" s="34">
        <f>-L34</f>
        <v>0</v>
      </c>
      <c r="S12" s="34">
        <f>-K34</f>
        <v>0</v>
      </c>
    </row>
    <row r="13" spans="4:19" ht="12.75">
      <c r="D13" s="3" t="s">
        <v>9</v>
      </c>
      <c r="F13" s="34">
        <f>Nov01!F13+200-200</f>
        <v>0</v>
      </c>
      <c r="G13" s="5"/>
      <c r="H13" s="5"/>
      <c r="J13" s="29" t="s">
        <v>93</v>
      </c>
      <c r="K13" s="34">
        <f>Nov01!K13+249.08-249.08</f>
        <v>249.07999999999996</v>
      </c>
      <c r="Q13" t="s">
        <v>131</v>
      </c>
      <c r="R13" s="34">
        <f>-L35</f>
        <v>0</v>
      </c>
      <c r="S13" s="34">
        <f>-K35</f>
        <v>0</v>
      </c>
    </row>
    <row r="14" spans="4:19" ht="12.75">
      <c r="D14" s="3" t="s">
        <v>126</v>
      </c>
      <c r="F14" s="34">
        <f>Nov01!F14-50</f>
        <v>450</v>
      </c>
      <c r="J14" s="3" t="s">
        <v>96</v>
      </c>
      <c r="K14" s="34">
        <f>Nov01!K14+312.5+79.81-87.38</f>
        <v>1017.3100000000001</v>
      </c>
      <c r="Q14" s="114" t="s">
        <v>163</v>
      </c>
      <c r="R14" s="60">
        <f>SUM(R10:R13)</f>
        <v>0</v>
      </c>
      <c r="S14" s="60">
        <f>SUM(S10:S13)</f>
        <v>0</v>
      </c>
    </row>
    <row r="15" spans="3:19" ht="12.75">
      <c r="C15" t="s">
        <v>10</v>
      </c>
      <c r="J15" s="3" t="s">
        <v>70</v>
      </c>
      <c r="K15" s="34">
        <f>Nov01!K15-30-320+320-20</f>
        <v>300</v>
      </c>
      <c r="R15" s="34"/>
      <c r="S15" s="34"/>
    </row>
    <row r="16" spans="4:19" ht="13.5" thickBot="1">
      <c r="D16" s="3" t="s">
        <v>115</v>
      </c>
      <c r="F16" s="34">
        <f>Nov01!F16+1200+2000-1200-1040</f>
        <v>960</v>
      </c>
      <c r="P16" s="115" t="s">
        <v>356</v>
      </c>
      <c r="R16" s="116">
        <f>R7-R14</f>
        <v>0</v>
      </c>
      <c r="S16" s="116">
        <f>S7-S14</f>
        <v>0</v>
      </c>
    </row>
    <row r="17" spans="4:19" ht="13.5" thickTop="1">
      <c r="D17" s="3" t="s">
        <v>116</v>
      </c>
      <c r="F17" s="34">
        <f>Nov01!F17</f>
        <v>0</v>
      </c>
      <c r="H17" s="2" t="s">
        <v>56</v>
      </c>
      <c r="R17" s="34"/>
      <c r="S17" s="34"/>
    </row>
    <row r="18" spans="4:19" ht="12.75">
      <c r="D18" s="3" t="s">
        <v>117</v>
      </c>
      <c r="I18" s="32" t="s">
        <v>57</v>
      </c>
      <c r="P18" s="2" t="s">
        <v>381</v>
      </c>
      <c r="R18" s="34"/>
      <c r="S18" s="34"/>
    </row>
    <row r="19" spans="5:19" ht="12.75">
      <c r="E19" s="3" t="s">
        <v>120</v>
      </c>
      <c r="F19" s="34">
        <f>Nov01!F19+1200</f>
        <v>1200</v>
      </c>
      <c r="J19" s="3" t="s">
        <v>58</v>
      </c>
      <c r="K19" s="34">
        <f>Nov01!K19</f>
        <v>21292</v>
      </c>
      <c r="Q19" t="s">
        <v>385</v>
      </c>
      <c r="R19" s="34">
        <v>0</v>
      </c>
      <c r="S19" s="34">
        <v>0</v>
      </c>
    </row>
    <row r="20" spans="5:19" ht="12.75">
      <c r="E20" s="3" t="s">
        <v>121</v>
      </c>
      <c r="F20" s="34">
        <f>Nov01!F20+384</f>
        <v>384</v>
      </c>
      <c r="J20" s="40" t="s">
        <v>153</v>
      </c>
      <c r="K20" s="34">
        <f>Nov01!K20</f>
        <v>0</v>
      </c>
      <c r="Q20" t="s">
        <v>382</v>
      </c>
      <c r="R20" s="34">
        <f>-L36</f>
        <v>1967.13</v>
      </c>
      <c r="S20" s="34">
        <f>-K36</f>
        <v>4855.910000000001</v>
      </c>
    </row>
    <row r="21" spans="5:19" ht="12.75">
      <c r="E21" s="3" t="s">
        <v>122</v>
      </c>
      <c r="F21" s="34">
        <f>Nov01!F21+410.98</f>
        <v>410.98</v>
      </c>
      <c r="I21" s="32" t="s">
        <v>91</v>
      </c>
      <c r="K21" s="34">
        <f>Nov01!K21</f>
        <v>0</v>
      </c>
      <c r="Q21" t="s">
        <v>383</v>
      </c>
      <c r="R21" s="34">
        <f>-L37</f>
        <v>225.64000000000001</v>
      </c>
      <c r="S21" s="34">
        <f>-K37</f>
        <v>845.41</v>
      </c>
    </row>
    <row r="22" spans="5:19" ht="12.75">
      <c r="E22" s="3" t="s">
        <v>131</v>
      </c>
      <c r="F22" s="34">
        <f>Nov01!F22+840</f>
        <v>840</v>
      </c>
      <c r="Q22" t="s">
        <v>384</v>
      </c>
      <c r="R22" s="34">
        <f>-L38</f>
        <v>878.79</v>
      </c>
      <c r="S22" s="34">
        <f>-K38</f>
        <v>1286.79</v>
      </c>
    </row>
    <row r="23" spans="4:19" ht="12.75">
      <c r="D23" s="40" t="s">
        <v>118</v>
      </c>
      <c r="E23" s="40"/>
      <c r="Q23" t="s">
        <v>386</v>
      </c>
      <c r="R23" s="34">
        <v>0</v>
      </c>
      <c r="S23" s="34">
        <v>0</v>
      </c>
    </row>
    <row r="24" spans="4:19" ht="12.75">
      <c r="D24" s="40"/>
      <c r="E24" s="41" t="s">
        <v>120</v>
      </c>
      <c r="F24" s="34">
        <f>Nov01!F24+2250</f>
        <v>2250</v>
      </c>
      <c r="G24" s="5" t="s">
        <v>16</v>
      </c>
      <c r="H24" s="5"/>
      <c r="J24" s="29"/>
      <c r="Q24" s="114" t="s">
        <v>163</v>
      </c>
      <c r="R24" s="60">
        <f>SUM(R19:R23)</f>
        <v>3071.56</v>
      </c>
      <c r="S24" s="60">
        <f>SUM(S19:S23)</f>
        <v>6988.110000000001</v>
      </c>
    </row>
    <row r="25" spans="4:19" ht="12.75">
      <c r="D25" s="40"/>
      <c r="E25" s="41" t="s">
        <v>121</v>
      </c>
      <c r="F25" s="34">
        <f>Nov01!F25+656</f>
        <v>656</v>
      </c>
      <c r="G25" s="5"/>
      <c r="H25" s="5" t="s">
        <v>5</v>
      </c>
      <c r="J25" s="29"/>
      <c r="R25" s="34"/>
      <c r="S25" s="34"/>
    </row>
    <row r="26" spans="4:19" ht="13.5" thickBot="1">
      <c r="D26" s="40"/>
      <c r="E26" s="41" t="s">
        <v>122</v>
      </c>
      <c r="F26" s="34">
        <f>Nov01!F26+616.47</f>
        <v>616.47</v>
      </c>
      <c r="G26" s="5"/>
      <c r="H26" s="5"/>
      <c r="I26" s="32" t="s">
        <v>6</v>
      </c>
      <c r="J26" s="29"/>
      <c r="K26" s="34">
        <f>Nov01!K26</f>
        <v>100000</v>
      </c>
      <c r="P26" s="2" t="s">
        <v>387</v>
      </c>
      <c r="R26" s="116">
        <f>R16-R24</f>
        <v>-3071.56</v>
      </c>
      <c r="S26" s="116">
        <f>S16-S24</f>
        <v>-6988.110000000001</v>
      </c>
    </row>
    <row r="27" spans="5:19" ht="13.5" thickTop="1">
      <c r="E27" s="3" t="s">
        <v>131</v>
      </c>
      <c r="F27" s="34">
        <f>Nov01!F27+1260</f>
        <v>1260</v>
      </c>
      <c r="G27" s="5"/>
      <c r="H27" s="5"/>
      <c r="J27" s="29"/>
      <c r="R27" s="34"/>
      <c r="S27" s="34"/>
    </row>
    <row r="28" spans="7:19" ht="12.75">
      <c r="G28" s="5"/>
      <c r="H28" s="5" t="s">
        <v>80</v>
      </c>
      <c r="I28" s="33"/>
      <c r="J28" s="29"/>
      <c r="P28" s="78">
        <v>0.15</v>
      </c>
      <c r="Q28" t="s">
        <v>388</v>
      </c>
      <c r="R28" s="34"/>
      <c r="S28" s="34">
        <v>0</v>
      </c>
    </row>
    <row r="29" spans="2:19" ht="12.75">
      <c r="B29" s="2" t="s">
        <v>11</v>
      </c>
      <c r="E29" s="43"/>
      <c r="G29" s="5"/>
      <c r="H29" s="5"/>
      <c r="I29" s="32" t="s">
        <v>145</v>
      </c>
      <c r="K29" s="61" t="s">
        <v>205</v>
      </c>
      <c r="L29" s="62" t="s">
        <v>204</v>
      </c>
      <c r="P29" s="78">
        <v>0.25</v>
      </c>
      <c r="Q29" t="s">
        <v>389</v>
      </c>
      <c r="R29" s="34"/>
      <c r="S29" s="34">
        <v>0</v>
      </c>
    </row>
    <row r="30" spans="3:12" ht="12.75">
      <c r="C30" t="s">
        <v>12</v>
      </c>
      <c r="G30" s="5"/>
      <c r="H30" s="5"/>
      <c r="J30" s="29" t="s">
        <v>79</v>
      </c>
      <c r="K30" s="34">
        <f>Nov01!K30+L30</f>
        <v>0</v>
      </c>
      <c r="L30" s="34"/>
    </row>
    <row r="31" spans="4:19" ht="13.5" thickBot="1">
      <c r="D31" s="3" t="s">
        <v>17</v>
      </c>
      <c r="F31" s="34">
        <f>Nov01!F31</f>
        <v>25000</v>
      </c>
      <c r="J31" s="30" t="s">
        <v>134</v>
      </c>
      <c r="K31" s="34">
        <f>Nov01!K31+L31</f>
        <v>0</v>
      </c>
      <c r="L31" s="34"/>
      <c r="Q31" s="2" t="s">
        <v>390</v>
      </c>
      <c r="R31" s="117">
        <f>R26-R28-R29</f>
        <v>-3071.56</v>
      </c>
      <c r="S31" s="117">
        <f>S26-S28-S29</f>
        <v>-6988.110000000001</v>
      </c>
    </row>
    <row r="32" spans="4:12" ht="12.75">
      <c r="D32" s="3" t="s">
        <v>18</v>
      </c>
      <c r="F32" s="34">
        <f>Nov01!F32</f>
        <v>50000</v>
      </c>
      <c r="J32" s="40" t="s">
        <v>135</v>
      </c>
      <c r="K32" s="34">
        <f>Nov01!K32+L32</f>
        <v>0</v>
      </c>
      <c r="L32" s="34"/>
    </row>
    <row r="33" spans="4:12" ht="12.75">
      <c r="D33" s="3" t="s">
        <v>19</v>
      </c>
      <c r="F33" s="34">
        <f>Nov01!F33</f>
        <v>15000</v>
      </c>
      <c r="J33" s="40" t="s">
        <v>136</v>
      </c>
      <c r="K33" s="34">
        <f>Nov01!K33+L33</f>
        <v>0</v>
      </c>
      <c r="L33" s="34"/>
    </row>
    <row r="34" spans="4:12" ht="12.75">
      <c r="D34" s="3" t="s">
        <v>20</v>
      </c>
      <c r="F34" s="34">
        <f>Nov01!F34</f>
        <v>2000</v>
      </c>
      <c r="J34" s="40" t="s">
        <v>137</v>
      </c>
      <c r="K34" s="34">
        <f>Nov01!K34+L34</f>
        <v>0</v>
      </c>
      <c r="L34" s="34"/>
    </row>
    <row r="35" spans="4:12" ht="12.75">
      <c r="D35" s="3" t="s">
        <v>21</v>
      </c>
      <c r="F35" s="34">
        <f>Nov01!F35</f>
        <v>15000</v>
      </c>
      <c r="J35" s="40" t="s">
        <v>138</v>
      </c>
      <c r="K35" s="34">
        <f>Nov01!K35+L35</f>
        <v>0</v>
      </c>
      <c r="L35" s="34"/>
    </row>
    <row r="36" spans="3:12" ht="12.75">
      <c r="C36" t="s">
        <v>72</v>
      </c>
      <c r="F36" s="34">
        <f>Nov01!F36</f>
        <v>0</v>
      </c>
      <c r="J36" s="30" t="s">
        <v>133</v>
      </c>
      <c r="K36" s="34">
        <f>Nov01!K36+L36</f>
        <v>-4855.910000000001</v>
      </c>
      <c r="L36" s="34">
        <f>30-320-1447.13-200-50+20</f>
        <v>-1967.13</v>
      </c>
    </row>
    <row r="37" spans="3:12" ht="12.75">
      <c r="C37" t="s">
        <v>78</v>
      </c>
      <c r="F37" s="34">
        <f>Nov01!F37-825</f>
        <v>-1233</v>
      </c>
      <c r="J37" s="30" t="s">
        <v>139</v>
      </c>
      <c r="K37" s="34">
        <f>Nov01!K37+L37</f>
        <v>-845.41</v>
      </c>
      <c r="L37" s="34">
        <f>166.67-312.5-79.81</f>
        <v>-225.64000000000001</v>
      </c>
    </row>
    <row r="38" spans="10:12" ht="12.75">
      <c r="J38" s="30" t="s">
        <v>315</v>
      </c>
      <c r="K38" s="34">
        <f>Nov01!K38+L38</f>
        <v>-1286.79</v>
      </c>
      <c r="L38" s="34">
        <f>-53.79-825</f>
        <v>-878.79</v>
      </c>
    </row>
    <row r="39" spans="2:12" ht="12.75">
      <c r="B39" s="2" t="s">
        <v>13</v>
      </c>
      <c r="I39" s="46" t="s">
        <v>146</v>
      </c>
      <c r="K39" s="34">
        <f>Nov01!K39+L39</f>
        <v>0</v>
      </c>
      <c r="L39" s="34"/>
    </row>
    <row r="40" spans="3:10" ht="12.75">
      <c r="C40" t="s">
        <v>14</v>
      </c>
      <c r="F40" s="34">
        <f>Nov01!F40</f>
        <v>400</v>
      </c>
      <c r="G40" s="5"/>
      <c r="H40" s="5"/>
      <c r="J40" s="29"/>
    </row>
    <row r="41" spans="3:12" ht="12.75">
      <c r="C41" t="s">
        <v>31</v>
      </c>
      <c r="F41" s="34">
        <f>Nov01!F41</f>
        <v>2000</v>
      </c>
      <c r="G41" s="5"/>
      <c r="H41" s="5"/>
      <c r="J41" s="29"/>
      <c r="L41" s="34">
        <f>SUM(L30:L38)</f>
        <v>-3071.56</v>
      </c>
    </row>
    <row r="42" spans="3:10" ht="12.75">
      <c r="C42" t="s">
        <v>119</v>
      </c>
      <c r="F42" s="34">
        <f>Nov01!F42-53.79</f>
        <v>3173.65</v>
      </c>
      <c r="G42" s="5"/>
      <c r="H42" s="5"/>
      <c r="J42" s="29"/>
    </row>
    <row r="43" spans="7:10" ht="12.75">
      <c r="G43" s="5"/>
      <c r="H43" s="5"/>
      <c r="J43" s="29"/>
    </row>
    <row r="44" spans="6:11" ht="12.75">
      <c r="F44" s="47">
        <f>SUM(F5:F43)</f>
        <v>132370.15</v>
      </c>
      <c r="G44" s="5"/>
      <c r="H44" s="5"/>
      <c r="J44" s="29"/>
      <c r="K44" s="47">
        <f>SUM(K5:K43)</f>
        <v>132370.15</v>
      </c>
    </row>
    <row r="45" spans="7:10" ht="12.75">
      <c r="G45" s="5"/>
      <c r="H45" s="5"/>
      <c r="J45" s="28">
        <f>K44-F44</f>
        <v>0</v>
      </c>
    </row>
    <row r="46" spans="7:10" ht="12.75">
      <c r="G46" s="5"/>
      <c r="H46" s="5"/>
      <c r="J46" s="29"/>
    </row>
    <row r="47" spans="7:10" ht="12.75">
      <c r="G47" s="5"/>
      <c r="H47" s="5"/>
      <c r="J47" s="29"/>
    </row>
    <row r="48" spans="7:10" ht="12.75">
      <c r="G48" s="5"/>
      <c r="H48" s="5"/>
      <c r="J48" s="29"/>
    </row>
    <row r="49" spans="7:10" ht="12.75">
      <c r="G49" s="5"/>
      <c r="H49" s="5"/>
      <c r="J49" s="29"/>
    </row>
    <row r="50" spans="7:10" ht="12.75">
      <c r="G50" s="5"/>
      <c r="H50" s="5"/>
      <c r="J50" s="29"/>
    </row>
    <row r="51" spans="7:10" ht="12.75">
      <c r="G51" s="5"/>
      <c r="H51" s="5"/>
      <c r="J51" s="29"/>
    </row>
    <row r="52" spans="7:10" ht="12.75">
      <c r="G52" s="5"/>
      <c r="H52" s="5"/>
      <c r="J52" s="29"/>
    </row>
    <row r="53" spans="7:10" ht="12.75">
      <c r="G53" s="5"/>
      <c r="H53" s="5"/>
      <c r="J53" s="29"/>
    </row>
    <row r="54" spans="7:10" ht="12.75">
      <c r="G54" s="5"/>
      <c r="H54" s="5"/>
      <c r="J54" s="29"/>
    </row>
    <row r="55" spans="7:10" ht="12.75">
      <c r="G55" s="5"/>
      <c r="H55" s="5"/>
      <c r="J55" s="29"/>
    </row>
    <row r="56" spans="7:10" ht="12.75">
      <c r="G56" s="5"/>
      <c r="H56" s="5"/>
      <c r="J56" s="29"/>
    </row>
    <row r="57" spans="7:10" ht="12.75">
      <c r="G57" s="5"/>
      <c r="H57" s="5"/>
      <c r="J57" s="29"/>
    </row>
    <row r="58" spans="7:10" ht="12.75">
      <c r="G58" s="5"/>
      <c r="H58" s="5"/>
      <c r="J58" s="29"/>
    </row>
    <row r="59" spans="7:10" ht="12.75">
      <c r="G59" s="5"/>
      <c r="H59" s="5"/>
      <c r="J59" s="29"/>
    </row>
    <row r="60" spans="7:10" ht="12.75">
      <c r="G60" s="5"/>
      <c r="H60" s="5"/>
      <c r="J60" s="29"/>
    </row>
    <row r="61" spans="7:10" ht="12.75">
      <c r="G61" s="5"/>
      <c r="H61" s="5"/>
      <c r="J61" s="29"/>
    </row>
    <row r="62" spans="7:10" ht="12.75">
      <c r="G62" s="5"/>
      <c r="H62" s="5"/>
      <c r="J62" s="29"/>
    </row>
    <row r="63" spans="7:10" ht="12.75">
      <c r="G63" s="5"/>
      <c r="H63" s="5"/>
      <c r="J63" s="29"/>
    </row>
    <row r="64" spans="7:10" ht="12.75">
      <c r="G64" s="5"/>
      <c r="H64" s="5"/>
      <c r="J64" s="29"/>
    </row>
    <row r="65" spans="7:10" ht="12.75">
      <c r="G65" s="5"/>
      <c r="H65" s="5"/>
      <c r="J65" s="29"/>
    </row>
    <row r="66" spans="7:10" ht="12.75">
      <c r="G66" s="5"/>
      <c r="H66" s="5"/>
      <c r="J66" s="29"/>
    </row>
    <row r="67" spans="7:10" ht="12.75">
      <c r="G67" s="5"/>
      <c r="H67" s="5"/>
      <c r="J67" s="29"/>
    </row>
    <row r="68" spans="7:10" ht="12.75">
      <c r="G68" s="5"/>
      <c r="H68" s="5"/>
      <c r="J68" s="29"/>
    </row>
    <row r="69" spans="7:10" ht="12.75">
      <c r="G69" s="5"/>
      <c r="H69" s="5"/>
      <c r="J69" s="29"/>
    </row>
    <row r="70" spans="7:10" ht="12.75">
      <c r="G70" s="5"/>
      <c r="H70" s="5"/>
      <c r="J70" s="29"/>
    </row>
    <row r="71" spans="7:10" ht="12.75">
      <c r="G71" s="5"/>
      <c r="H71" s="5"/>
      <c r="J71" s="29"/>
    </row>
    <row r="72" spans="7:10" ht="12.75">
      <c r="G72" s="5"/>
      <c r="H72" s="5"/>
      <c r="J72" s="29"/>
    </row>
    <row r="73" spans="7:10" ht="12.75">
      <c r="G73" s="5"/>
      <c r="H73" s="5"/>
      <c r="J73" s="29"/>
    </row>
    <row r="74" spans="7:10" ht="12.75">
      <c r="G74" s="5"/>
      <c r="H74" s="5"/>
      <c r="J74" s="29"/>
    </row>
    <row r="75" spans="7:10" ht="12.75">
      <c r="G75" s="5"/>
      <c r="H75" s="5"/>
      <c r="J75" s="29"/>
    </row>
    <row r="76" spans="7:10" ht="12.75">
      <c r="G76" s="5"/>
      <c r="H76" s="5"/>
      <c r="J76" s="29"/>
    </row>
  </sheetData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workbookViewId="0" topLeftCell="A1">
      <selection activeCell="A1" sqref="A1"/>
    </sheetView>
  </sheetViews>
  <sheetFormatPr defaultColWidth="9.140625" defaultRowHeight="12.75"/>
  <cols>
    <col min="1" max="2" width="1.7109375" style="2" customWidth="1"/>
    <col min="3" max="3" width="1.7109375" style="0" customWidth="1"/>
    <col min="4" max="4" width="10.140625" style="3" customWidth="1"/>
    <col min="5" max="5" width="11.28125" style="3" bestFit="1" customWidth="1"/>
    <col min="6" max="6" width="11.28125" style="34" bestFit="1" customWidth="1"/>
    <col min="7" max="8" width="1.7109375" style="2" customWidth="1"/>
    <col min="9" max="9" width="1.7109375" style="32" customWidth="1"/>
    <col min="10" max="10" width="24.57421875" style="3" customWidth="1"/>
    <col min="11" max="11" width="11.28125" style="34" bestFit="1" customWidth="1"/>
    <col min="12" max="12" width="9.8515625" style="0" bestFit="1" customWidth="1"/>
    <col min="13" max="14" width="9.8515625" style="0" customWidth="1"/>
    <col min="16" max="16" width="4.7109375" style="0" customWidth="1"/>
    <col min="17" max="17" width="28.7109375" style="0" customWidth="1"/>
    <col min="18" max="19" width="12.7109375" style="0" customWidth="1"/>
  </cols>
  <sheetData>
    <row r="1" spans="1:19" ht="12.75">
      <c r="A1" s="2" t="s">
        <v>24</v>
      </c>
      <c r="P1" s="2" t="s">
        <v>24</v>
      </c>
      <c r="Q1" s="2"/>
      <c r="S1" s="3"/>
    </row>
    <row r="2" spans="1:19" ht="12.75">
      <c r="A2" s="2" t="s">
        <v>25</v>
      </c>
      <c r="P2" s="113" t="s">
        <v>377</v>
      </c>
      <c r="Q2" s="2"/>
      <c r="S2" s="3"/>
    </row>
    <row r="3" spans="1:17" ht="12.75">
      <c r="A3" s="2" t="s">
        <v>26</v>
      </c>
      <c r="D3" s="6">
        <v>37225</v>
      </c>
      <c r="E3" s="6"/>
      <c r="P3" s="2" t="s">
        <v>26</v>
      </c>
      <c r="Q3" s="6">
        <f>D3</f>
        <v>37225</v>
      </c>
    </row>
    <row r="4" spans="18:19" ht="12.75">
      <c r="R4" s="68" t="s">
        <v>204</v>
      </c>
      <c r="S4" s="68" t="s">
        <v>380</v>
      </c>
    </row>
    <row r="5" spans="1:19" ht="12.75">
      <c r="A5" s="2" t="s">
        <v>7</v>
      </c>
      <c r="G5" s="5" t="s">
        <v>15</v>
      </c>
      <c r="H5" s="5"/>
      <c r="J5" s="29"/>
      <c r="P5" s="2" t="s">
        <v>79</v>
      </c>
      <c r="R5" s="34"/>
      <c r="S5" s="34"/>
    </row>
    <row r="6" spans="2:19" ht="12.75">
      <c r="B6" s="2" t="s">
        <v>0</v>
      </c>
      <c r="G6" s="5"/>
      <c r="H6" s="5" t="s">
        <v>4</v>
      </c>
      <c r="J6" s="29"/>
      <c r="Q6" t="s">
        <v>378</v>
      </c>
      <c r="R6" s="34">
        <f>L30</f>
        <v>0</v>
      </c>
      <c r="S6" s="34">
        <f>K30</f>
        <v>0</v>
      </c>
    </row>
    <row r="7" spans="3:19" ht="12.75">
      <c r="C7" t="s">
        <v>1</v>
      </c>
      <c r="G7" s="5"/>
      <c r="H7" s="5"/>
      <c r="I7" s="33" t="s">
        <v>23</v>
      </c>
      <c r="J7" s="30"/>
      <c r="K7" s="34">
        <f>Oct01!K7-200-50</f>
        <v>1250</v>
      </c>
      <c r="Q7" s="114" t="s">
        <v>163</v>
      </c>
      <c r="R7" s="60">
        <f>SUM(R6)</f>
        <v>0</v>
      </c>
      <c r="S7" s="60">
        <f>SUM(S6)</f>
        <v>0</v>
      </c>
    </row>
    <row r="8" spans="4:19" ht="12.75">
      <c r="D8" s="3" t="s">
        <v>2</v>
      </c>
      <c r="F8" s="34">
        <f>Oct01!F8-700+700</f>
        <v>1000</v>
      </c>
      <c r="G8" s="5"/>
      <c r="H8" s="5"/>
      <c r="I8" s="32" t="s">
        <v>102</v>
      </c>
      <c r="J8" s="29"/>
      <c r="K8" s="34">
        <f>Oct01!K8-790.73</f>
        <v>9209.27</v>
      </c>
      <c r="R8" s="34"/>
      <c r="S8" s="34"/>
    </row>
    <row r="9" spans="4:19" ht="12.75">
      <c r="D9" s="3" t="s">
        <v>3</v>
      </c>
      <c r="F9" s="34">
        <f>Oct01!F9-2074.3-350-1500-200-2000-790.73-94.89-50+45000+187.5-700-40000</f>
        <v>4327.580000000002</v>
      </c>
      <c r="G9" s="5"/>
      <c r="H9" s="5"/>
      <c r="I9" s="33" t="s">
        <v>22</v>
      </c>
      <c r="J9" s="30"/>
      <c r="K9" s="34">
        <f>Oct01!K9-2000+25000</f>
        <v>25000</v>
      </c>
      <c r="P9" s="113" t="s">
        <v>379</v>
      </c>
      <c r="R9" s="34"/>
      <c r="S9" s="34"/>
    </row>
    <row r="10" spans="3:19" ht="12.75">
      <c r="C10" s="4" t="s">
        <v>140</v>
      </c>
      <c r="F10" s="34">
        <f>Oct01!F10-45000+40000</f>
        <v>40000</v>
      </c>
      <c r="G10" s="5"/>
      <c r="H10" s="5"/>
      <c r="I10" s="32" t="s">
        <v>69</v>
      </c>
      <c r="J10" s="31"/>
      <c r="K10" s="34">
        <f>Oct01!K10</f>
        <v>3708</v>
      </c>
      <c r="Q10" t="s">
        <v>120</v>
      </c>
      <c r="R10" s="34">
        <f>-L32</f>
        <v>0</v>
      </c>
      <c r="S10" s="34">
        <f>-K32</f>
        <v>0</v>
      </c>
    </row>
    <row r="11" spans="3:19" ht="12.75">
      <c r="C11" s="4" t="s">
        <v>123</v>
      </c>
      <c r="F11" s="34">
        <f>Oct01!F11</f>
        <v>0</v>
      </c>
      <c r="G11" s="5"/>
      <c r="H11" s="5"/>
      <c r="I11" s="32" t="s">
        <v>91</v>
      </c>
      <c r="Q11" t="s">
        <v>121</v>
      </c>
      <c r="R11" s="34">
        <f>-L33</f>
        <v>0</v>
      </c>
      <c r="S11" s="34">
        <f>-K33</f>
        <v>0</v>
      </c>
    </row>
    <row r="12" spans="3:19" ht="12.75">
      <c r="C12" s="4" t="s">
        <v>8</v>
      </c>
      <c r="G12" s="5"/>
      <c r="H12" s="5"/>
      <c r="J12" s="3" t="s">
        <v>92</v>
      </c>
      <c r="K12" s="34">
        <f>Oct01!K12+175.5</f>
        <v>192.84</v>
      </c>
      <c r="Q12" t="s">
        <v>122</v>
      </c>
      <c r="R12" s="34">
        <f>-L34</f>
        <v>0</v>
      </c>
      <c r="S12" s="34">
        <f>-K34</f>
        <v>0</v>
      </c>
    </row>
    <row r="13" spans="4:19" ht="12.75">
      <c r="D13" s="3" t="s">
        <v>9</v>
      </c>
      <c r="F13" s="34">
        <f>Oct01!F13-200</f>
        <v>0</v>
      </c>
      <c r="G13" s="5"/>
      <c r="H13" s="5"/>
      <c r="J13" s="29" t="s">
        <v>93</v>
      </c>
      <c r="K13" s="34">
        <f>Oct01!K13+249.08-24.3</f>
        <v>249.07999999999998</v>
      </c>
      <c r="Q13" t="s">
        <v>131</v>
      </c>
      <c r="R13" s="34">
        <f>-L35</f>
        <v>0</v>
      </c>
      <c r="S13" s="34">
        <f>-K35</f>
        <v>0</v>
      </c>
    </row>
    <row r="14" spans="4:19" ht="12.75">
      <c r="D14" s="3" t="s">
        <v>126</v>
      </c>
      <c r="F14" s="34">
        <f>Oct01!F14-50</f>
        <v>500</v>
      </c>
      <c r="J14" s="3" t="s">
        <v>96</v>
      </c>
      <c r="K14" s="34">
        <f>Oct01!K14+312.5+87.38-94.89</f>
        <v>712.38</v>
      </c>
      <c r="Q14" s="114" t="s">
        <v>163</v>
      </c>
      <c r="R14" s="60">
        <f>SUM(R10:R13)</f>
        <v>0</v>
      </c>
      <c r="S14" s="60">
        <f>SUM(S10:S13)</f>
        <v>0</v>
      </c>
    </row>
    <row r="15" spans="3:19" ht="12.75">
      <c r="C15" t="s">
        <v>10</v>
      </c>
      <c r="J15" s="3" t="s">
        <v>70</v>
      </c>
      <c r="K15" s="34">
        <f>Oct01!K15+50-350+350</f>
        <v>350</v>
      </c>
      <c r="R15" s="34"/>
      <c r="S15" s="34"/>
    </row>
    <row r="16" spans="4:19" ht="13.5" thickBot="1">
      <c r="D16" s="3" t="s">
        <v>115</v>
      </c>
      <c r="F16" s="34">
        <f>Oct01!F16</f>
        <v>0</v>
      </c>
      <c r="P16" s="115" t="s">
        <v>356</v>
      </c>
      <c r="R16" s="116">
        <f>R7-R14</f>
        <v>0</v>
      </c>
      <c r="S16" s="116">
        <f>S7-S14</f>
        <v>0</v>
      </c>
    </row>
    <row r="17" spans="4:19" ht="13.5" thickTop="1">
      <c r="D17" s="3" t="s">
        <v>116</v>
      </c>
      <c r="F17" s="34">
        <f>Oct01!F17</f>
        <v>0</v>
      </c>
      <c r="H17" s="2" t="s">
        <v>56</v>
      </c>
      <c r="R17" s="34"/>
      <c r="S17" s="34"/>
    </row>
    <row r="18" spans="4:19" ht="12.75">
      <c r="D18" s="3" t="s">
        <v>117</v>
      </c>
      <c r="I18" s="32" t="s">
        <v>57</v>
      </c>
      <c r="P18" s="2" t="s">
        <v>381</v>
      </c>
      <c r="R18" s="34"/>
      <c r="S18" s="34"/>
    </row>
    <row r="19" spans="5:19" ht="12.75">
      <c r="E19" s="3" t="s">
        <v>120</v>
      </c>
      <c r="F19" s="34">
        <f>Oct01!F19</f>
        <v>0</v>
      </c>
      <c r="J19" s="3" t="s">
        <v>58</v>
      </c>
      <c r="K19" s="34">
        <f>Oct01!K19</f>
        <v>21292</v>
      </c>
      <c r="Q19" t="s">
        <v>385</v>
      </c>
      <c r="R19" s="34">
        <v>0</v>
      </c>
      <c r="S19" s="34">
        <v>0</v>
      </c>
    </row>
    <row r="20" spans="5:19" ht="12.75">
      <c r="E20" s="3" t="s">
        <v>121</v>
      </c>
      <c r="F20" s="34">
        <f>Oct01!F20</f>
        <v>0</v>
      </c>
      <c r="J20" s="40" t="s">
        <v>153</v>
      </c>
      <c r="Q20" t="s">
        <v>382</v>
      </c>
      <c r="R20" s="34">
        <f>-L36</f>
        <v>2097.1400000000003</v>
      </c>
      <c r="S20" s="34">
        <f>-K36</f>
        <v>2888.7800000000007</v>
      </c>
    </row>
    <row r="21" spans="5:19" ht="12.75">
      <c r="E21" s="3" t="s">
        <v>122</v>
      </c>
      <c r="F21" s="34">
        <f>Oct01!F21</f>
        <v>0</v>
      </c>
      <c r="I21" s="32" t="s">
        <v>91</v>
      </c>
      <c r="Q21" t="s">
        <v>383</v>
      </c>
      <c r="R21" s="34">
        <f>-L37</f>
        <v>212.38</v>
      </c>
      <c r="S21" s="34">
        <f>-K37</f>
        <v>619.77</v>
      </c>
    </row>
    <row r="22" spans="5:19" ht="12.75">
      <c r="E22" s="3" t="s">
        <v>131</v>
      </c>
      <c r="F22" s="34">
        <f>Oct01!F22</f>
        <v>0</v>
      </c>
      <c r="Q22" t="s">
        <v>384</v>
      </c>
      <c r="R22" s="34">
        <f>-L38</f>
        <v>408</v>
      </c>
      <c r="S22" s="34">
        <f>-K38</f>
        <v>408</v>
      </c>
    </row>
    <row r="23" spans="4:19" ht="12.75">
      <c r="D23" s="40" t="s">
        <v>118</v>
      </c>
      <c r="E23" s="40"/>
      <c r="Q23" t="s">
        <v>386</v>
      </c>
      <c r="R23" s="34">
        <v>0</v>
      </c>
      <c r="S23" s="34">
        <v>0</v>
      </c>
    </row>
    <row r="24" spans="4:19" ht="12.75">
      <c r="D24" s="40"/>
      <c r="E24" s="41" t="s">
        <v>120</v>
      </c>
      <c r="F24" s="34">
        <f>Oct01!F24</f>
        <v>0</v>
      </c>
      <c r="G24" s="5" t="s">
        <v>16</v>
      </c>
      <c r="H24" s="5"/>
      <c r="J24" s="29"/>
      <c r="Q24" s="114" t="s">
        <v>163</v>
      </c>
      <c r="R24" s="60">
        <f>SUM(R19:R23)</f>
        <v>2717.5200000000004</v>
      </c>
      <c r="S24" s="60">
        <f>SUM(S19:S23)</f>
        <v>3916.5500000000006</v>
      </c>
    </row>
    <row r="25" spans="4:19" ht="12.75">
      <c r="D25" s="40"/>
      <c r="E25" s="41" t="s">
        <v>121</v>
      </c>
      <c r="F25" s="34">
        <f>Oct01!F25</f>
        <v>0</v>
      </c>
      <c r="G25" s="5"/>
      <c r="H25" s="5" t="s">
        <v>5</v>
      </c>
      <c r="J25" s="29"/>
      <c r="R25" s="34"/>
      <c r="S25" s="34"/>
    </row>
    <row r="26" spans="4:19" ht="13.5" thickBot="1">
      <c r="D26" s="40"/>
      <c r="E26" s="41" t="s">
        <v>122</v>
      </c>
      <c r="F26" s="34">
        <f>Oct01!F26</f>
        <v>0</v>
      </c>
      <c r="G26" s="5"/>
      <c r="H26" s="5"/>
      <c r="I26" s="32" t="s">
        <v>6</v>
      </c>
      <c r="J26" s="29"/>
      <c r="K26" s="34">
        <f>Oct01!K26</f>
        <v>100000</v>
      </c>
      <c r="P26" s="2" t="s">
        <v>387</v>
      </c>
      <c r="R26" s="116">
        <f>R16-R24</f>
        <v>-2717.5200000000004</v>
      </c>
      <c r="S26" s="116">
        <f>S16-S24</f>
        <v>-3916.5500000000006</v>
      </c>
    </row>
    <row r="27" spans="5:19" ht="13.5" thickTop="1">
      <c r="E27" s="3" t="s">
        <v>131</v>
      </c>
      <c r="F27" s="34">
        <f>Oct01!F27</f>
        <v>0</v>
      </c>
      <c r="G27" s="5"/>
      <c r="H27" s="5"/>
      <c r="J27" s="29"/>
      <c r="R27" s="34"/>
      <c r="S27" s="34"/>
    </row>
    <row r="28" spans="7:19" ht="12.75">
      <c r="G28" s="5"/>
      <c r="H28" s="5" t="s">
        <v>80</v>
      </c>
      <c r="I28" s="33"/>
      <c r="J28" s="29"/>
      <c r="P28" s="78">
        <v>0.15</v>
      </c>
      <c r="Q28" t="s">
        <v>388</v>
      </c>
      <c r="R28" s="34"/>
      <c r="S28" s="34"/>
    </row>
    <row r="29" spans="2:19" ht="12.75">
      <c r="B29" s="2" t="s">
        <v>11</v>
      </c>
      <c r="E29" s="43"/>
      <c r="G29" s="5"/>
      <c r="H29" s="5"/>
      <c r="I29" s="32" t="s">
        <v>145</v>
      </c>
      <c r="K29" s="61" t="s">
        <v>205</v>
      </c>
      <c r="L29" s="62" t="s">
        <v>204</v>
      </c>
      <c r="M29" s="62"/>
      <c r="N29" s="62"/>
      <c r="P29" s="78">
        <v>0.25</v>
      </c>
      <c r="Q29" t="s">
        <v>389</v>
      </c>
      <c r="R29" s="34"/>
      <c r="S29" s="34"/>
    </row>
    <row r="30" spans="3:14" ht="12.75">
      <c r="C30" t="s">
        <v>12</v>
      </c>
      <c r="G30" s="5"/>
      <c r="H30" s="5"/>
      <c r="J30" s="29" t="s">
        <v>79</v>
      </c>
      <c r="K30" s="34">
        <f>Oct01!K30+L30</f>
        <v>0</v>
      </c>
      <c r="L30" s="34"/>
      <c r="M30" s="34"/>
      <c r="N30" s="34"/>
    </row>
    <row r="31" spans="4:19" ht="13.5" thickBot="1">
      <c r="D31" s="3" t="s">
        <v>17</v>
      </c>
      <c r="F31" s="34">
        <f>Oct01!F31</f>
        <v>25000</v>
      </c>
      <c r="J31" s="30" t="s">
        <v>134</v>
      </c>
      <c r="K31" s="34">
        <f>Oct01!K31+L31</f>
        <v>0</v>
      </c>
      <c r="L31" s="34"/>
      <c r="M31" s="34"/>
      <c r="N31" s="34"/>
      <c r="Q31" s="2" t="s">
        <v>390</v>
      </c>
      <c r="R31" s="117">
        <f>R26-R28-R29</f>
        <v>-2717.5200000000004</v>
      </c>
      <c r="S31" s="117">
        <f>S26-S28-S29</f>
        <v>-3916.5500000000006</v>
      </c>
    </row>
    <row r="32" spans="4:14" ht="12.75">
      <c r="D32" s="3" t="s">
        <v>18</v>
      </c>
      <c r="F32" s="34">
        <f>Oct01!F32+25000+25000</f>
        <v>50000</v>
      </c>
      <c r="J32" s="40" t="s">
        <v>135</v>
      </c>
      <c r="K32" s="34">
        <f>Oct01!K32+L32</f>
        <v>0</v>
      </c>
      <c r="L32" s="34"/>
      <c r="M32" s="34"/>
      <c r="N32" s="34"/>
    </row>
    <row r="33" spans="4:14" ht="12.75">
      <c r="D33" s="3" t="s">
        <v>19</v>
      </c>
      <c r="F33" s="34">
        <f>Oct01!F33</f>
        <v>15000</v>
      </c>
      <c r="J33" s="40" t="s">
        <v>136</v>
      </c>
      <c r="K33" s="34">
        <f>Oct01!K33+L33</f>
        <v>0</v>
      </c>
      <c r="L33" s="34"/>
      <c r="M33" s="34"/>
      <c r="N33" s="34"/>
    </row>
    <row r="34" spans="4:14" ht="12.75">
      <c r="D34" s="3" t="s">
        <v>20</v>
      </c>
      <c r="F34" s="34">
        <f>Oct01!F34</f>
        <v>2000</v>
      </c>
      <c r="J34" s="40" t="s">
        <v>137</v>
      </c>
      <c r="K34" s="34">
        <f>Oct01!K34+L34</f>
        <v>0</v>
      </c>
      <c r="L34" s="34"/>
      <c r="M34" s="34"/>
      <c r="N34" s="34"/>
    </row>
    <row r="35" spans="4:14" ht="12.75">
      <c r="D35" s="3" t="s">
        <v>21</v>
      </c>
      <c r="F35" s="34">
        <f>Oct01!F35</f>
        <v>15000</v>
      </c>
      <c r="J35" s="40" t="s">
        <v>138</v>
      </c>
      <c r="K35" s="34">
        <f>Oct01!K35+L35</f>
        <v>0</v>
      </c>
      <c r="L35" s="34"/>
      <c r="M35" s="34"/>
      <c r="N35" s="34"/>
    </row>
    <row r="36" spans="3:14" ht="12.75">
      <c r="C36" t="s">
        <v>72</v>
      </c>
      <c r="F36" s="34">
        <f>Oct01!F36-25000</f>
        <v>0</v>
      </c>
      <c r="J36" s="30" t="s">
        <v>133</v>
      </c>
      <c r="K36" s="34">
        <f>Oct01!K36+L36</f>
        <v>-2888.7800000000007</v>
      </c>
      <c r="L36" s="34">
        <f>-1447.14-50-350-200-50</f>
        <v>-2097.1400000000003</v>
      </c>
      <c r="M36" s="34"/>
      <c r="N36" s="34"/>
    </row>
    <row r="37" spans="3:14" ht="12.75">
      <c r="C37" t="s">
        <v>78</v>
      </c>
      <c r="F37" s="34">
        <f>Oct01!F37-33-125-250</f>
        <v>-408</v>
      </c>
      <c r="J37" s="30" t="s">
        <v>139</v>
      </c>
      <c r="K37" s="34">
        <f>Oct01!K37+L37</f>
        <v>-619.77</v>
      </c>
      <c r="L37" s="34">
        <f>-312.5-87.38+187.5</f>
        <v>-212.38</v>
      </c>
      <c r="M37" s="34"/>
      <c r="N37" s="34"/>
    </row>
    <row r="38" spans="10:14" ht="12.75">
      <c r="J38" s="30" t="s">
        <v>315</v>
      </c>
      <c r="K38" s="34">
        <f>Oct01!K38+L38</f>
        <v>-408</v>
      </c>
      <c r="L38" s="34">
        <f>-33-125-250</f>
        <v>-408</v>
      </c>
      <c r="M38" s="34"/>
      <c r="N38" s="34"/>
    </row>
    <row r="39" spans="2:14" ht="12.75">
      <c r="B39" s="2" t="s">
        <v>13</v>
      </c>
      <c r="I39" s="46" t="s">
        <v>146</v>
      </c>
      <c r="K39" s="34">
        <f>Oct01!K39+L39</f>
        <v>0</v>
      </c>
      <c r="L39" s="34"/>
      <c r="M39" s="34"/>
      <c r="N39" s="34"/>
    </row>
    <row r="40" spans="3:10" ht="12.75">
      <c r="C40" t="s">
        <v>14</v>
      </c>
      <c r="F40" s="34">
        <f>Oct01!F40</f>
        <v>400</v>
      </c>
      <c r="G40" s="5"/>
      <c r="H40" s="5"/>
      <c r="J40" s="29"/>
    </row>
    <row r="41" spans="3:14" ht="12.75">
      <c r="C41" t="s">
        <v>31</v>
      </c>
      <c r="F41" s="34">
        <f>Oct01!F41</f>
        <v>2000</v>
      </c>
      <c r="G41" s="5"/>
      <c r="H41" s="5"/>
      <c r="J41" s="29"/>
      <c r="L41" s="34">
        <f>SUM(L30:L38)</f>
        <v>-2717.5200000000004</v>
      </c>
      <c r="M41" s="34"/>
      <c r="N41" s="34"/>
    </row>
    <row r="42" spans="3:10" ht="12.75">
      <c r="C42" t="s">
        <v>119</v>
      </c>
      <c r="F42" s="34">
        <f>Oct01!F42+1027.44+1500+700</f>
        <v>3227.44</v>
      </c>
      <c r="G42" s="5"/>
      <c r="H42" s="5"/>
      <c r="J42" s="29"/>
    </row>
    <row r="43" spans="7:10" ht="12.75">
      <c r="G43" s="5"/>
      <c r="H43" s="5"/>
      <c r="J43" s="29"/>
    </row>
    <row r="44" spans="6:11" ht="12.75">
      <c r="F44" s="47">
        <f>SUM(F5:F43)</f>
        <v>158047.02000000002</v>
      </c>
      <c r="G44" s="5"/>
      <c r="H44" s="5"/>
      <c r="J44" s="29"/>
      <c r="K44" s="47">
        <f>SUM(K5:K43)</f>
        <v>158047.02000000002</v>
      </c>
    </row>
    <row r="45" spans="7:10" ht="12.75">
      <c r="G45" s="5"/>
      <c r="H45" s="5"/>
      <c r="J45" s="1">
        <f>K44-F44</f>
        <v>0</v>
      </c>
    </row>
    <row r="46" spans="7:10" ht="12.75">
      <c r="G46" s="5"/>
      <c r="H46" s="5"/>
      <c r="J46" s="29"/>
    </row>
    <row r="47" spans="7:10" ht="12.75">
      <c r="G47" s="5"/>
      <c r="H47" s="5"/>
      <c r="J47" s="29"/>
    </row>
    <row r="48" spans="7:10" ht="12.75">
      <c r="G48" s="5"/>
      <c r="H48" s="5"/>
      <c r="J48" s="29"/>
    </row>
    <row r="49" spans="7:10" ht="12.75">
      <c r="G49" s="5"/>
      <c r="H49" s="5"/>
      <c r="J49" s="29"/>
    </row>
    <row r="50" spans="7:10" ht="12.75">
      <c r="G50" s="5"/>
      <c r="H50" s="5"/>
      <c r="J50" s="29"/>
    </row>
    <row r="51" spans="7:10" ht="12.75">
      <c r="G51" s="5"/>
      <c r="H51" s="5"/>
      <c r="J51" s="29"/>
    </row>
    <row r="52" spans="7:10" ht="12.75">
      <c r="G52" s="5"/>
      <c r="H52" s="5"/>
      <c r="J52" s="29"/>
    </row>
    <row r="53" spans="7:10" ht="12.75">
      <c r="G53" s="5"/>
      <c r="H53" s="5"/>
      <c r="J53" s="29"/>
    </row>
    <row r="54" spans="7:10" ht="12.75">
      <c r="G54" s="5"/>
      <c r="H54" s="5"/>
      <c r="J54" s="29"/>
    </row>
    <row r="55" spans="7:10" ht="12.75">
      <c r="G55" s="5"/>
      <c r="H55" s="5"/>
      <c r="J55" s="29"/>
    </row>
    <row r="56" spans="7:10" ht="12.75">
      <c r="G56" s="5"/>
      <c r="H56" s="5"/>
      <c r="J56" s="29"/>
    </row>
    <row r="57" spans="7:10" ht="12.75">
      <c r="G57" s="5"/>
      <c r="H57" s="5"/>
      <c r="J57" s="29"/>
    </row>
    <row r="58" spans="7:10" ht="12.75">
      <c r="G58" s="5"/>
      <c r="H58" s="5"/>
      <c r="J58" s="29"/>
    </row>
    <row r="59" spans="7:10" ht="12.75">
      <c r="G59" s="5"/>
      <c r="H59" s="5"/>
      <c r="J59" s="29"/>
    </row>
    <row r="60" spans="7:10" ht="12.75">
      <c r="G60" s="5"/>
      <c r="H60" s="5"/>
      <c r="J60" s="29"/>
    </row>
    <row r="61" spans="7:10" ht="12.75">
      <c r="G61" s="5"/>
      <c r="H61" s="5"/>
      <c r="J61" s="29"/>
    </row>
    <row r="62" spans="7:10" ht="12.75">
      <c r="G62" s="5"/>
      <c r="H62" s="5"/>
      <c r="J62" s="29"/>
    </row>
    <row r="63" spans="7:10" ht="12.75">
      <c r="G63" s="5"/>
      <c r="H63" s="5"/>
      <c r="J63" s="29"/>
    </row>
    <row r="64" spans="7:10" ht="12.75">
      <c r="G64" s="5"/>
      <c r="H64" s="5"/>
      <c r="J64" s="29"/>
    </row>
    <row r="65" spans="7:10" ht="12.75">
      <c r="G65" s="5"/>
      <c r="H65" s="5"/>
      <c r="J65" s="29"/>
    </row>
    <row r="66" spans="7:10" ht="12.75">
      <c r="G66" s="5"/>
      <c r="H66" s="5"/>
      <c r="J66" s="29"/>
    </row>
    <row r="67" spans="7:10" ht="12.75">
      <c r="G67" s="5"/>
      <c r="H67" s="5"/>
      <c r="J67" s="29"/>
    </row>
    <row r="68" spans="7:10" ht="12.75">
      <c r="G68" s="5"/>
      <c r="H68" s="5"/>
      <c r="J68" s="29"/>
    </row>
    <row r="69" spans="7:10" ht="12.75">
      <c r="G69" s="5"/>
      <c r="H69" s="5"/>
      <c r="J69" s="29"/>
    </row>
    <row r="70" spans="7:10" ht="12.75">
      <c r="G70" s="5"/>
      <c r="H70" s="5"/>
      <c r="J70" s="29"/>
    </row>
    <row r="71" spans="7:10" ht="12.75">
      <c r="G71" s="5"/>
      <c r="H71" s="5"/>
      <c r="J71" s="29"/>
    </row>
    <row r="72" spans="7:10" ht="12.75">
      <c r="G72" s="5"/>
      <c r="H72" s="5"/>
      <c r="J72" s="29"/>
    </row>
    <row r="73" spans="7:10" ht="12.75">
      <c r="G73" s="5"/>
      <c r="H73" s="5"/>
      <c r="J73" s="29"/>
    </row>
    <row r="74" spans="7:10" ht="12.75">
      <c r="G74" s="5"/>
      <c r="H74" s="5"/>
      <c r="J74" s="29"/>
    </row>
    <row r="75" spans="7:10" ht="12.75">
      <c r="G75" s="5"/>
      <c r="H75" s="5"/>
      <c r="J75" s="29"/>
    </row>
    <row r="76" spans="7:10" ht="12.75">
      <c r="G76" s="5"/>
      <c r="H76" s="5"/>
      <c r="J76" s="29"/>
    </row>
  </sheetData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workbookViewId="0" topLeftCell="A1">
      <selection activeCell="A1" sqref="A1"/>
    </sheetView>
  </sheetViews>
  <sheetFormatPr defaultColWidth="9.140625" defaultRowHeight="12.75"/>
  <cols>
    <col min="1" max="2" width="1.7109375" style="2" customWidth="1"/>
    <col min="3" max="3" width="1.7109375" style="0" customWidth="1"/>
    <col min="4" max="4" width="10.140625" style="3" customWidth="1"/>
    <col min="5" max="5" width="11.28125" style="3" bestFit="1" customWidth="1"/>
    <col min="6" max="6" width="11.28125" style="34" bestFit="1" customWidth="1"/>
    <col min="7" max="8" width="1.7109375" style="2" customWidth="1"/>
    <col min="9" max="9" width="1.7109375" style="32" customWidth="1"/>
    <col min="10" max="10" width="24.421875" style="3" customWidth="1"/>
    <col min="11" max="11" width="11.28125" style="34" bestFit="1" customWidth="1"/>
    <col min="12" max="12" width="9.8515625" style="0" bestFit="1" customWidth="1"/>
    <col min="13" max="14" width="9.8515625" style="0" customWidth="1"/>
    <col min="16" max="16" width="5.140625" style="0" customWidth="1"/>
    <col min="17" max="17" width="28.421875" style="0" customWidth="1"/>
    <col min="18" max="18" width="12.7109375" style="0" customWidth="1"/>
    <col min="19" max="19" width="11.8515625" style="0" customWidth="1"/>
  </cols>
  <sheetData>
    <row r="1" spans="1:19" ht="12.75">
      <c r="A1" s="2" t="s">
        <v>24</v>
      </c>
      <c r="P1" s="2" t="s">
        <v>24</v>
      </c>
      <c r="Q1" s="2"/>
      <c r="S1" s="3"/>
    </row>
    <row r="2" spans="1:19" ht="12.75">
      <c r="A2" s="2" t="s">
        <v>25</v>
      </c>
      <c r="P2" s="113" t="s">
        <v>377</v>
      </c>
      <c r="Q2" s="2"/>
      <c r="S2" s="3"/>
    </row>
    <row r="3" spans="1:17" ht="12.75">
      <c r="A3" s="2" t="s">
        <v>26</v>
      </c>
      <c r="D3" s="6">
        <v>37195</v>
      </c>
      <c r="E3" s="6"/>
      <c r="P3" s="2" t="s">
        <v>26</v>
      </c>
      <c r="Q3" s="6">
        <f>D3</f>
        <v>37195</v>
      </c>
    </row>
    <row r="4" spans="18:19" ht="12.75">
      <c r="R4" s="68" t="s">
        <v>204</v>
      </c>
      <c r="S4" s="68" t="s">
        <v>380</v>
      </c>
    </row>
    <row r="5" spans="1:19" ht="12.75">
      <c r="A5" s="2" t="s">
        <v>7</v>
      </c>
      <c r="G5" s="5" t="s">
        <v>15</v>
      </c>
      <c r="H5" s="5"/>
      <c r="J5" s="29"/>
      <c r="P5" s="2" t="s">
        <v>79</v>
      </c>
      <c r="R5" s="34"/>
      <c r="S5" s="34"/>
    </row>
    <row r="6" spans="2:19" ht="12.75">
      <c r="B6" s="2" t="s">
        <v>0</v>
      </c>
      <c r="G6" s="5"/>
      <c r="H6" s="5" t="s">
        <v>4</v>
      </c>
      <c r="J6" s="29"/>
      <c r="Q6" t="s">
        <v>378</v>
      </c>
      <c r="R6" s="34">
        <f>L30</f>
        <v>0</v>
      </c>
      <c r="S6" s="34">
        <f>K30</f>
        <v>0</v>
      </c>
    </row>
    <row r="7" spans="3:19" ht="12.75">
      <c r="C7" t="s">
        <v>1</v>
      </c>
      <c r="G7" s="5"/>
      <c r="H7" s="5"/>
      <c r="I7" s="33" t="s">
        <v>23</v>
      </c>
      <c r="J7" s="30"/>
      <c r="K7" s="34">
        <f>1200+300</f>
        <v>1500</v>
      </c>
      <c r="Q7" s="114" t="s">
        <v>163</v>
      </c>
      <c r="R7" s="60">
        <f>SUM(R6)</f>
        <v>0</v>
      </c>
      <c r="S7" s="60">
        <f>SUM(S6)</f>
        <v>0</v>
      </c>
    </row>
    <row r="8" spans="4:19" ht="12.75">
      <c r="D8" s="3" t="s">
        <v>2</v>
      </c>
      <c r="F8" s="34">
        <f>100000-99000</f>
        <v>1000</v>
      </c>
      <c r="G8" s="5"/>
      <c r="H8" s="5"/>
      <c r="I8" s="32" t="s">
        <v>102</v>
      </c>
      <c r="J8" s="29"/>
      <c r="K8" s="34">
        <v>10000</v>
      </c>
      <c r="R8" s="34"/>
      <c r="S8" s="34"/>
    </row>
    <row r="9" spans="4:19" ht="12.75">
      <c r="D9" s="3" t="s">
        <v>3</v>
      </c>
      <c r="F9" s="34">
        <f>99000-400-400-800-200-25000-15000-5000-300-45000</f>
        <v>6900</v>
      </c>
      <c r="G9" s="5"/>
      <c r="H9" s="5"/>
      <c r="I9" s="33" t="s">
        <v>22</v>
      </c>
      <c r="J9" s="30"/>
      <c r="K9" s="34">
        <v>2000</v>
      </c>
      <c r="P9" s="113" t="s">
        <v>379</v>
      </c>
      <c r="R9" s="34"/>
      <c r="S9" s="34"/>
    </row>
    <row r="10" spans="3:19" ht="12.75">
      <c r="C10" s="4" t="s">
        <v>140</v>
      </c>
      <c r="F10" s="34">
        <v>45000</v>
      </c>
      <c r="G10" s="5"/>
      <c r="H10" s="5"/>
      <c r="I10" s="32" t="s">
        <v>69</v>
      </c>
      <c r="J10" s="31"/>
      <c r="K10" s="34">
        <v>3708</v>
      </c>
      <c r="Q10" t="s">
        <v>120</v>
      </c>
      <c r="R10" s="34">
        <f>-L32</f>
        <v>0</v>
      </c>
      <c r="S10" s="34">
        <f>-K32</f>
        <v>0</v>
      </c>
    </row>
    <row r="11" spans="3:19" ht="12.75">
      <c r="C11" s="4" t="s">
        <v>123</v>
      </c>
      <c r="F11" s="34">
        <v>0</v>
      </c>
      <c r="G11" s="5"/>
      <c r="H11" s="5"/>
      <c r="I11" s="32" t="s">
        <v>91</v>
      </c>
      <c r="Q11" t="s">
        <v>121</v>
      </c>
      <c r="R11" s="34">
        <f>-L33</f>
        <v>0</v>
      </c>
      <c r="S11" s="34">
        <f>-K33</f>
        <v>0</v>
      </c>
    </row>
    <row r="12" spans="3:19" ht="12.75">
      <c r="C12" s="4" t="s">
        <v>8</v>
      </c>
      <c r="G12" s="5"/>
      <c r="H12" s="5"/>
      <c r="J12" s="3" t="s">
        <v>92</v>
      </c>
      <c r="K12" s="34">
        <f>16.67+0.67</f>
        <v>17.340000000000003</v>
      </c>
      <c r="Q12" t="s">
        <v>122</v>
      </c>
      <c r="R12" s="34">
        <f>-L34</f>
        <v>0</v>
      </c>
      <c r="S12" s="34">
        <f>-K34</f>
        <v>0</v>
      </c>
    </row>
    <row r="13" spans="4:19" ht="12.75">
      <c r="D13" s="3" t="s">
        <v>9</v>
      </c>
      <c r="F13" s="34">
        <f>400-200</f>
        <v>200</v>
      </c>
      <c r="G13" s="5"/>
      <c r="H13" s="5"/>
      <c r="J13" s="29" t="s">
        <v>93</v>
      </c>
      <c r="K13" s="34">
        <f>24.3</f>
        <v>24.3</v>
      </c>
      <c r="Q13" t="s">
        <v>131</v>
      </c>
      <c r="R13" s="34">
        <f>-L35</f>
        <v>0</v>
      </c>
      <c r="S13" s="34">
        <f>-K35</f>
        <v>0</v>
      </c>
    </row>
    <row r="14" spans="4:19" ht="12.75">
      <c r="D14" s="3" t="s">
        <v>126</v>
      </c>
      <c r="F14" s="34">
        <f>300+300-50</f>
        <v>550</v>
      </c>
      <c r="J14" s="3" t="s">
        <v>96</v>
      </c>
      <c r="K14" s="34">
        <f>312.5+94.89</f>
        <v>407.39</v>
      </c>
      <c r="Q14" s="114" t="s">
        <v>163</v>
      </c>
      <c r="R14" s="60">
        <f>SUM(R10:R13)</f>
        <v>0</v>
      </c>
      <c r="S14" s="60">
        <f>SUM(S10:S13)</f>
        <v>0</v>
      </c>
    </row>
    <row r="15" spans="3:19" ht="12.75">
      <c r="C15" t="s">
        <v>10</v>
      </c>
      <c r="J15" s="3" t="s">
        <v>70</v>
      </c>
      <c r="K15" s="34">
        <v>300</v>
      </c>
      <c r="R15" s="34"/>
      <c r="S15" s="34"/>
    </row>
    <row r="16" spans="4:19" ht="13.5" thickBot="1">
      <c r="D16" s="3" t="s">
        <v>115</v>
      </c>
      <c r="P16" s="115" t="s">
        <v>356</v>
      </c>
      <c r="R16" s="116">
        <f>R7-R14</f>
        <v>0</v>
      </c>
      <c r="S16" s="116">
        <f>S7-S14</f>
        <v>0</v>
      </c>
    </row>
    <row r="17" spans="4:19" ht="13.5" thickTop="1">
      <c r="D17" s="3" t="s">
        <v>116</v>
      </c>
      <c r="H17" s="2" t="s">
        <v>56</v>
      </c>
      <c r="R17" s="34"/>
      <c r="S17" s="34"/>
    </row>
    <row r="18" spans="4:19" ht="12.75">
      <c r="D18" s="3" t="s">
        <v>117</v>
      </c>
      <c r="I18" s="32" t="s">
        <v>57</v>
      </c>
      <c r="P18" s="2" t="s">
        <v>381</v>
      </c>
      <c r="R18" s="34"/>
      <c r="S18" s="34"/>
    </row>
    <row r="19" spans="5:19" ht="12.75">
      <c r="E19" s="3" t="s">
        <v>120</v>
      </c>
      <c r="J19" s="3" t="s">
        <v>58</v>
      </c>
      <c r="K19" s="34">
        <f>25000-3708</f>
        <v>21292</v>
      </c>
      <c r="Q19" t="s">
        <v>385</v>
      </c>
      <c r="R19" s="34">
        <v>0</v>
      </c>
      <c r="S19" s="34">
        <v>0</v>
      </c>
    </row>
    <row r="20" spans="5:19" ht="12.75">
      <c r="E20" s="3" t="s">
        <v>121</v>
      </c>
      <c r="J20" s="40" t="s">
        <v>153</v>
      </c>
      <c r="Q20" t="s">
        <v>382</v>
      </c>
      <c r="R20" s="34">
        <f>-L36</f>
        <v>791.6400000000001</v>
      </c>
      <c r="S20" s="34">
        <f>-K36</f>
        <v>791.6400000000001</v>
      </c>
    </row>
    <row r="21" spans="5:19" ht="12.75">
      <c r="E21" s="3" t="s">
        <v>122</v>
      </c>
      <c r="I21" s="32" t="s">
        <v>91</v>
      </c>
      <c r="Q21" t="s">
        <v>383</v>
      </c>
      <c r="R21" s="34">
        <f>-L37</f>
        <v>407.39</v>
      </c>
      <c r="S21" s="34">
        <f>-K37</f>
        <v>407.39</v>
      </c>
    </row>
    <row r="22" spans="5:19" ht="12.75">
      <c r="E22" s="3" t="s">
        <v>131</v>
      </c>
      <c r="Q22" t="s">
        <v>384</v>
      </c>
      <c r="R22" s="34">
        <f>-L38</f>
        <v>0</v>
      </c>
      <c r="S22" s="34">
        <f>-K38</f>
        <v>0</v>
      </c>
    </row>
    <row r="23" spans="4:19" ht="12.75">
      <c r="D23" s="40" t="s">
        <v>118</v>
      </c>
      <c r="E23" s="40"/>
      <c r="Q23" t="s">
        <v>386</v>
      </c>
      <c r="R23" s="34">
        <v>0</v>
      </c>
      <c r="S23" s="34">
        <v>0</v>
      </c>
    </row>
    <row r="24" spans="4:19" ht="12.75">
      <c r="D24" s="40"/>
      <c r="E24" s="41" t="s">
        <v>120</v>
      </c>
      <c r="G24" s="5" t="s">
        <v>16</v>
      </c>
      <c r="H24" s="5"/>
      <c r="J24" s="29"/>
      <c r="Q24" s="114" t="s">
        <v>163</v>
      </c>
      <c r="R24" s="60">
        <f>SUM(R19:R23)</f>
        <v>1199.0300000000002</v>
      </c>
      <c r="S24" s="60">
        <f>SUM(S19:S23)</f>
        <v>1199.0300000000002</v>
      </c>
    </row>
    <row r="25" spans="4:19" ht="12.75">
      <c r="D25" s="40"/>
      <c r="E25" s="41" t="s">
        <v>121</v>
      </c>
      <c r="G25" s="5"/>
      <c r="H25" s="5" t="s">
        <v>5</v>
      </c>
      <c r="J25" s="29"/>
      <c r="R25" s="34"/>
      <c r="S25" s="34"/>
    </row>
    <row r="26" spans="4:19" ht="13.5" thickBot="1">
      <c r="D26" s="40"/>
      <c r="E26" s="41" t="s">
        <v>122</v>
      </c>
      <c r="G26" s="5"/>
      <c r="H26" s="5"/>
      <c r="I26" s="32" t="s">
        <v>6</v>
      </c>
      <c r="J26" s="29"/>
      <c r="K26" s="34">
        <v>100000</v>
      </c>
      <c r="P26" s="2" t="s">
        <v>387</v>
      </c>
      <c r="R26" s="116">
        <f>R16-R24</f>
        <v>-1199.0300000000002</v>
      </c>
      <c r="S26" s="116">
        <f>S16-S24</f>
        <v>-1199.0300000000002</v>
      </c>
    </row>
    <row r="27" spans="5:19" ht="13.5" thickTop="1">
      <c r="E27" s="3" t="s">
        <v>131</v>
      </c>
      <c r="G27" s="5"/>
      <c r="H27" s="5"/>
      <c r="J27" s="29"/>
      <c r="R27" s="34"/>
      <c r="S27" s="34"/>
    </row>
    <row r="28" spans="7:19" ht="12.75">
      <c r="G28" s="5"/>
      <c r="H28" s="5" t="s">
        <v>80</v>
      </c>
      <c r="I28" s="33"/>
      <c r="J28" s="29"/>
      <c r="P28" s="78">
        <v>0.15</v>
      </c>
      <c r="Q28" t="s">
        <v>388</v>
      </c>
      <c r="R28" s="34"/>
      <c r="S28" s="34"/>
    </row>
    <row r="29" spans="2:19" ht="12.75">
      <c r="B29" s="2" t="s">
        <v>11</v>
      </c>
      <c r="E29" s="43"/>
      <c r="G29" s="5"/>
      <c r="H29" s="5"/>
      <c r="I29" s="32" t="s">
        <v>145</v>
      </c>
      <c r="K29" s="61" t="s">
        <v>205</v>
      </c>
      <c r="L29" s="62" t="s">
        <v>204</v>
      </c>
      <c r="M29" s="62"/>
      <c r="N29" s="62"/>
      <c r="P29" s="78">
        <v>0.25</v>
      </c>
      <c r="Q29" t="s">
        <v>389</v>
      </c>
      <c r="R29" s="34"/>
      <c r="S29" s="34"/>
    </row>
    <row r="30" spans="3:14" ht="12.75">
      <c r="C30" t="s">
        <v>12</v>
      </c>
      <c r="G30" s="5"/>
      <c r="H30" s="5"/>
      <c r="J30" s="29" t="s">
        <v>79</v>
      </c>
      <c r="L30" s="34">
        <f>K30</f>
        <v>0</v>
      </c>
      <c r="M30" s="34"/>
      <c r="N30" s="34"/>
    </row>
    <row r="31" spans="4:19" ht="13.5" thickBot="1">
      <c r="D31" s="3" t="s">
        <v>17</v>
      </c>
      <c r="F31" s="34">
        <v>25000</v>
      </c>
      <c r="J31" s="30" t="s">
        <v>134</v>
      </c>
      <c r="L31" s="34"/>
      <c r="M31" s="34"/>
      <c r="N31" s="34"/>
      <c r="Q31" s="2" t="s">
        <v>390</v>
      </c>
      <c r="R31" s="117">
        <f>R26-R28-R29</f>
        <v>-1199.0300000000002</v>
      </c>
      <c r="S31" s="117">
        <f>S26-S28-S29</f>
        <v>-1199.0300000000002</v>
      </c>
    </row>
    <row r="32" spans="4:14" ht="12.75">
      <c r="D32" s="3" t="s">
        <v>18</v>
      </c>
      <c r="J32" s="40" t="s">
        <v>135</v>
      </c>
      <c r="L32" s="34">
        <f aca="true" t="shared" si="0" ref="L32:L38">K32</f>
        <v>0</v>
      </c>
      <c r="M32" s="34"/>
      <c r="N32" s="34"/>
    </row>
    <row r="33" spans="4:14" ht="12.75">
      <c r="D33" s="3" t="s">
        <v>19</v>
      </c>
      <c r="F33" s="34">
        <v>15000</v>
      </c>
      <c r="J33" s="40" t="s">
        <v>136</v>
      </c>
      <c r="L33" s="34">
        <f t="shared" si="0"/>
        <v>0</v>
      </c>
      <c r="M33" s="34"/>
      <c r="N33" s="34"/>
    </row>
    <row r="34" spans="4:14" ht="12.75">
      <c r="D34" s="3" t="s">
        <v>20</v>
      </c>
      <c r="F34" s="34">
        <v>2000</v>
      </c>
      <c r="J34" s="40" t="s">
        <v>137</v>
      </c>
      <c r="L34" s="34">
        <f t="shared" si="0"/>
        <v>0</v>
      </c>
      <c r="M34" s="34"/>
      <c r="N34" s="34"/>
    </row>
    <row r="35" spans="4:14" ht="12.75">
      <c r="D35" s="3" t="s">
        <v>21</v>
      </c>
      <c r="F35" s="34">
        <f>5000+10000</f>
        <v>15000</v>
      </c>
      <c r="J35" s="40" t="s">
        <v>138</v>
      </c>
      <c r="L35" s="34">
        <f t="shared" si="0"/>
        <v>0</v>
      </c>
      <c r="M35" s="34"/>
      <c r="N35" s="34"/>
    </row>
    <row r="36" spans="3:14" ht="12.75">
      <c r="C36" t="s">
        <v>72</v>
      </c>
      <c r="F36" s="34">
        <v>25000</v>
      </c>
      <c r="J36" s="30" t="s">
        <v>133</v>
      </c>
      <c r="K36" s="34">
        <f>-200-200-16.67-24.3-0.67-50-300</f>
        <v>-791.6400000000001</v>
      </c>
      <c r="L36" s="34">
        <f t="shared" si="0"/>
        <v>-791.6400000000001</v>
      </c>
      <c r="M36" s="34"/>
      <c r="N36" s="34"/>
    </row>
    <row r="37" spans="3:14" ht="12.75">
      <c r="C37" t="s">
        <v>78</v>
      </c>
      <c r="J37" s="30" t="s">
        <v>139</v>
      </c>
      <c r="K37" s="34">
        <f>-312.5-94.89</f>
        <v>-407.39</v>
      </c>
      <c r="L37" s="34">
        <f t="shared" si="0"/>
        <v>-407.39</v>
      </c>
      <c r="M37" s="34"/>
      <c r="N37" s="34"/>
    </row>
    <row r="38" spans="10:14" ht="12.75">
      <c r="J38" s="30" t="s">
        <v>315</v>
      </c>
      <c r="L38" s="34">
        <f t="shared" si="0"/>
        <v>0</v>
      </c>
      <c r="M38" s="34"/>
      <c r="N38" s="34"/>
    </row>
    <row r="39" spans="2:11" ht="12.75">
      <c r="B39" s="2" t="s">
        <v>13</v>
      </c>
      <c r="I39" s="46" t="s">
        <v>146</v>
      </c>
      <c r="K39" s="34">
        <v>0</v>
      </c>
    </row>
    <row r="40" spans="3:10" ht="12.75">
      <c r="C40" t="s">
        <v>14</v>
      </c>
      <c r="F40" s="34">
        <f>400</f>
        <v>400</v>
      </c>
      <c r="G40" s="5"/>
      <c r="H40" s="5"/>
      <c r="J40" s="29"/>
    </row>
    <row r="41" spans="3:14" ht="12.75">
      <c r="C41" t="s">
        <v>31</v>
      </c>
      <c r="F41" s="34">
        <v>2000</v>
      </c>
      <c r="G41" s="5"/>
      <c r="H41" s="5"/>
      <c r="J41" s="29"/>
      <c r="L41" s="34">
        <f>SUM(L30:L38)</f>
        <v>-1199.0300000000002</v>
      </c>
      <c r="M41" s="34"/>
      <c r="N41" s="34"/>
    </row>
    <row r="42" spans="3:10" ht="12.75">
      <c r="C42" t="s">
        <v>119</v>
      </c>
      <c r="G42" s="5"/>
      <c r="H42" s="5"/>
      <c r="J42" s="29"/>
    </row>
    <row r="43" spans="7:10" ht="12.75">
      <c r="G43" s="5"/>
      <c r="H43" s="5"/>
      <c r="J43" s="29"/>
    </row>
    <row r="44" spans="6:11" ht="12.75">
      <c r="F44" s="47">
        <f>SUM(F5:F43)</f>
        <v>138050</v>
      </c>
      <c r="G44" s="5"/>
      <c r="H44" s="5"/>
      <c r="J44" s="29"/>
      <c r="K44" s="47">
        <f>SUM(K5:K43)</f>
        <v>138049.99999999997</v>
      </c>
    </row>
    <row r="45" spans="7:10" ht="12.75">
      <c r="G45" s="5"/>
      <c r="H45" s="5"/>
      <c r="J45" s="28">
        <f>K44-F44</f>
        <v>0</v>
      </c>
    </row>
    <row r="46" spans="7:10" ht="12.75">
      <c r="G46" s="5"/>
      <c r="H46" s="5"/>
      <c r="J46" s="29"/>
    </row>
    <row r="47" spans="7:10" ht="12.75">
      <c r="G47" s="5"/>
      <c r="H47" s="5"/>
      <c r="J47" s="29"/>
    </row>
    <row r="48" spans="7:10" ht="12.75">
      <c r="G48" s="5"/>
      <c r="H48" s="5"/>
      <c r="J48" s="29"/>
    </row>
    <row r="49" spans="7:10" ht="12.75">
      <c r="G49" s="5"/>
      <c r="H49" s="5"/>
      <c r="J49" s="29"/>
    </row>
    <row r="50" spans="7:10" ht="12.75">
      <c r="G50" s="5"/>
      <c r="H50" s="5"/>
      <c r="J50" s="29"/>
    </row>
    <row r="51" spans="7:10" ht="12.75">
      <c r="G51" s="5"/>
      <c r="H51" s="5"/>
      <c r="J51" s="29"/>
    </row>
    <row r="52" spans="7:10" ht="12.75">
      <c r="G52" s="5"/>
      <c r="H52" s="5"/>
      <c r="J52" s="29"/>
    </row>
    <row r="53" spans="7:10" ht="12.75">
      <c r="G53" s="5"/>
      <c r="H53" s="5"/>
      <c r="J53" s="29"/>
    </row>
    <row r="54" spans="7:10" ht="12.75">
      <c r="G54" s="5"/>
      <c r="H54" s="5"/>
      <c r="J54" s="29"/>
    </row>
    <row r="55" spans="7:10" ht="12.75">
      <c r="G55" s="5"/>
      <c r="H55" s="5"/>
      <c r="J55" s="29"/>
    </row>
    <row r="56" spans="7:10" ht="12.75">
      <c r="G56" s="5"/>
      <c r="H56" s="5"/>
      <c r="J56" s="29"/>
    </row>
    <row r="57" spans="7:10" ht="12.75">
      <c r="G57" s="5"/>
      <c r="H57" s="5"/>
      <c r="J57" s="29"/>
    </row>
    <row r="58" spans="7:10" ht="12.75">
      <c r="G58" s="5"/>
      <c r="H58" s="5"/>
      <c r="J58" s="29"/>
    </row>
    <row r="59" spans="7:10" ht="12.75">
      <c r="G59" s="5"/>
      <c r="H59" s="5"/>
      <c r="J59" s="29"/>
    </row>
    <row r="60" spans="7:10" ht="12.75">
      <c r="G60" s="5"/>
      <c r="H60" s="5"/>
      <c r="J60" s="29"/>
    </row>
    <row r="61" spans="7:10" ht="12.75">
      <c r="G61" s="5"/>
      <c r="H61" s="5"/>
      <c r="J61" s="29"/>
    </row>
    <row r="62" spans="7:10" ht="12.75">
      <c r="G62" s="5"/>
      <c r="H62" s="5"/>
      <c r="J62" s="29"/>
    </row>
    <row r="63" spans="7:10" ht="12.75">
      <c r="G63" s="5"/>
      <c r="H63" s="5"/>
      <c r="J63" s="29"/>
    </row>
    <row r="64" spans="7:10" ht="12.75">
      <c r="G64" s="5"/>
      <c r="H64" s="5"/>
      <c r="J64" s="29"/>
    </row>
    <row r="65" spans="7:10" ht="12.75">
      <c r="G65" s="5"/>
      <c r="H65" s="5"/>
      <c r="J65" s="29"/>
    </row>
    <row r="66" spans="7:10" ht="12.75">
      <c r="G66" s="5"/>
      <c r="H66" s="5"/>
      <c r="J66" s="29"/>
    </row>
    <row r="67" spans="7:10" ht="12.75">
      <c r="G67" s="5"/>
      <c r="H67" s="5"/>
      <c r="J67" s="29"/>
    </row>
    <row r="68" spans="7:10" ht="12.75">
      <c r="G68" s="5"/>
      <c r="H68" s="5"/>
      <c r="J68" s="29"/>
    </row>
    <row r="69" spans="7:10" ht="12.75">
      <c r="G69" s="5"/>
      <c r="H69" s="5"/>
      <c r="J69" s="29"/>
    </row>
    <row r="70" spans="7:10" ht="12.75">
      <c r="G70" s="5"/>
      <c r="H70" s="5"/>
      <c r="J70" s="29"/>
    </row>
    <row r="71" spans="7:10" ht="12.75">
      <c r="G71" s="5"/>
      <c r="H71" s="5"/>
      <c r="J71" s="29"/>
    </row>
    <row r="72" spans="7:10" ht="12.75">
      <c r="G72" s="5"/>
      <c r="H72" s="5"/>
      <c r="J72" s="29"/>
    </row>
    <row r="73" spans="7:10" ht="12.75">
      <c r="G73" s="5"/>
      <c r="H73" s="5"/>
      <c r="J73" s="29"/>
    </row>
    <row r="74" spans="7:10" ht="12.75">
      <c r="G74" s="5"/>
      <c r="H74" s="5"/>
      <c r="J74" s="29"/>
    </row>
    <row r="75" spans="7:10" ht="12.75">
      <c r="G75" s="5"/>
      <c r="H75" s="5"/>
      <c r="J75" s="29"/>
    </row>
    <row r="76" spans="7:10" ht="12.75">
      <c r="G76" s="5"/>
      <c r="H76" s="5"/>
      <c r="J76" s="29"/>
    </row>
  </sheetData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8.00390625" style="0" bestFit="1" customWidth="1"/>
    <col min="3" max="5" width="6.7109375" style="0" bestFit="1" customWidth="1"/>
    <col min="6" max="6" width="8.57421875" style="0" bestFit="1" customWidth="1"/>
    <col min="7" max="7" width="8.00390625" style="0" bestFit="1" customWidth="1"/>
    <col min="8" max="10" width="9.28125" style="0" bestFit="1" customWidth="1"/>
    <col min="11" max="11" width="8.57421875" style="0" bestFit="1" customWidth="1"/>
    <col min="12" max="12" width="7.7109375" style="0" bestFit="1" customWidth="1"/>
    <col min="13" max="14" width="5.7109375" style="0" bestFit="1" customWidth="1"/>
    <col min="15" max="15" width="6.57421875" style="0" bestFit="1" customWidth="1"/>
    <col min="16" max="17" width="9.28125" style="0" bestFit="1" customWidth="1"/>
    <col min="18" max="18" width="7.7109375" style="0" bestFit="1" customWidth="1"/>
  </cols>
  <sheetData>
    <row r="1" ht="12.75">
      <c r="A1" s="2" t="s">
        <v>394</v>
      </c>
    </row>
    <row r="3" ht="12.75">
      <c r="A3" s="2" t="s">
        <v>121</v>
      </c>
    </row>
    <row r="4" spans="2:18" ht="12.75">
      <c r="B4" s="132" t="s">
        <v>247</v>
      </c>
      <c r="C4" s="133"/>
      <c r="D4" s="133"/>
      <c r="E4" s="133"/>
      <c r="F4" s="133"/>
      <c r="G4" s="135" t="s">
        <v>249</v>
      </c>
      <c r="H4" s="136"/>
      <c r="I4" s="136"/>
      <c r="J4" s="136"/>
      <c r="K4" s="136"/>
      <c r="L4" s="137"/>
      <c r="M4" s="132" t="s">
        <v>340</v>
      </c>
      <c r="N4" s="133"/>
      <c r="O4" s="134"/>
      <c r="P4" s="132" t="s">
        <v>341</v>
      </c>
      <c r="Q4" s="133"/>
      <c r="R4" s="134"/>
    </row>
    <row r="5" spans="1:18" ht="12.75">
      <c r="A5" s="70" t="s">
        <v>246</v>
      </c>
      <c r="B5" s="126" t="s">
        <v>395</v>
      </c>
      <c r="C5" s="71" t="s">
        <v>396</v>
      </c>
      <c r="D5" s="71" t="s">
        <v>397</v>
      </c>
      <c r="E5" s="71" t="s">
        <v>398</v>
      </c>
      <c r="F5" s="71" t="s">
        <v>399</v>
      </c>
      <c r="G5" s="126" t="s">
        <v>395</v>
      </c>
      <c r="H5" s="71" t="s">
        <v>396</v>
      </c>
      <c r="I5" s="71" t="s">
        <v>397</v>
      </c>
      <c r="J5" s="71" t="s">
        <v>398</v>
      </c>
      <c r="K5" s="71" t="s">
        <v>399</v>
      </c>
      <c r="L5" s="91" t="s">
        <v>279</v>
      </c>
      <c r="M5" s="90" t="s">
        <v>338</v>
      </c>
      <c r="N5" s="81" t="s">
        <v>339</v>
      </c>
      <c r="O5" s="91" t="s">
        <v>400</v>
      </c>
      <c r="P5" s="90" t="s">
        <v>338</v>
      </c>
      <c r="Q5" s="81" t="s">
        <v>339</v>
      </c>
      <c r="R5" s="91" t="s">
        <v>400</v>
      </c>
    </row>
    <row r="6" spans="1:18" ht="12.75">
      <c r="A6" t="s">
        <v>248</v>
      </c>
      <c r="B6" s="74">
        <v>0</v>
      </c>
      <c r="C6" s="75">
        <v>75</v>
      </c>
      <c r="D6" s="76">
        <f>B6+C6</f>
        <v>75</v>
      </c>
      <c r="E6" s="86">
        <f>SUM(M6:O6)</f>
        <v>65</v>
      </c>
      <c r="F6" s="76">
        <f>D6-E6</f>
        <v>10</v>
      </c>
      <c r="G6" s="87">
        <v>0</v>
      </c>
      <c r="H6" s="88">
        <f>75*16</f>
        <v>1200</v>
      </c>
      <c r="I6" s="82">
        <f>G6+H6</f>
        <v>1200</v>
      </c>
      <c r="J6" s="82">
        <f>IF(D6&gt;0,I6/D6*E6,0)</f>
        <v>1040</v>
      </c>
      <c r="K6" s="82">
        <f>I6-J6</f>
        <v>160</v>
      </c>
      <c r="L6" s="109">
        <f>I6/D6</f>
        <v>16</v>
      </c>
      <c r="M6" s="92">
        <v>24</v>
      </c>
      <c r="N6" s="73">
        <v>41</v>
      </c>
      <c r="O6" s="111"/>
      <c r="P6" s="97">
        <f>M6*L6</f>
        <v>384</v>
      </c>
      <c r="Q6" s="98">
        <f>N6*L6</f>
        <v>656</v>
      </c>
      <c r="R6" s="89">
        <f>O6*L6</f>
        <v>0</v>
      </c>
    </row>
    <row r="7" spans="1:18" ht="12.75">
      <c r="A7" t="s">
        <v>250</v>
      </c>
      <c r="B7" s="74">
        <f>F6</f>
        <v>10</v>
      </c>
      <c r="C7" s="75">
        <v>200</v>
      </c>
      <c r="D7" s="76">
        <f>B7+C7</f>
        <v>210</v>
      </c>
      <c r="E7" s="86">
        <f>SUM(M7:O7)</f>
        <v>196</v>
      </c>
      <c r="F7" s="76">
        <f>D7-E7</f>
        <v>14</v>
      </c>
      <c r="G7" s="87">
        <f>K6</f>
        <v>160</v>
      </c>
      <c r="H7" s="88">
        <f>200*16</f>
        <v>3200</v>
      </c>
      <c r="I7" s="82">
        <f>G7+H7</f>
        <v>3360</v>
      </c>
      <c r="J7" s="82">
        <f>IF(D7&gt;0,I7/D7*E7,0)</f>
        <v>3136</v>
      </c>
      <c r="K7" s="82">
        <f>I7-J7</f>
        <v>224</v>
      </c>
      <c r="L7" s="109">
        <f>I7/D7</f>
        <v>16</v>
      </c>
      <c r="M7" s="92">
        <v>72</v>
      </c>
      <c r="N7" s="73">
        <v>124</v>
      </c>
      <c r="O7" s="93"/>
      <c r="P7" s="97">
        <f>M7*L7</f>
        <v>1152</v>
      </c>
      <c r="Q7" s="98">
        <f>N7*L7</f>
        <v>1984</v>
      </c>
      <c r="R7" s="89">
        <f>O7*L7</f>
        <v>0</v>
      </c>
    </row>
    <row r="8" spans="1:18" ht="12.75">
      <c r="A8" t="s">
        <v>251</v>
      </c>
      <c r="B8" s="74">
        <f>F7</f>
        <v>14</v>
      </c>
      <c r="C8" s="75">
        <v>250</v>
      </c>
      <c r="D8" s="76">
        <f>B8+C8</f>
        <v>264</v>
      </c>
      <c r="E8" s="86">
        <f>SUM(M8:O8)</f>
        <v>234</v>
      </c>
      <c r="F8" s="76">
        <f>D8-E8</f>
        <v>30</v>
      </c>
      <c r="G8" s="87">
        <f>K7</f>
        <v>224</v>
      </c>
      <c r="H8" s="88">
        <f>250*18</f>
        <v>4500</v>
      </c>
      <c r="I8" s="82">
        <f>G8+H8</f>
        <v>4724</v>
      </c>
      <c r="J8" s="82">
        <f>IF(D8&gt;0,I8/D8*E8,0)</f>
        <v>4187.181818181818</v>
      </c>
      <c r="K8" s="82">
        <f>I8-J8</f>
        <v>536.818181818182</v>
      </c>
      <c r="L8" s="109">
        <f>I8/D8</f>
        <v>17.893939393939394</v>
      </c>
      <c r="M8" s="92">
        <v>79</v>
      </c>
      <c r="N8" s="73">
        <v>155</v>
      </c>
      <c r="O8" s="93"/>
      <c r="P8" s="97">
        <f>M8*L8</f>
        <v>1413.6212121212122</v>
      </c>
      <c r="Q8" s="98">
        <f>N8*L8</f>
        <v>2773.560606060606</v>
      </c>
      <c r="R8" s="89">
        <f>O8*L8</f>
        <v>0</v>
      </c>
    </row>
    <row r="9" spans="1:18" ht="12.75">
      <c r="A9" t="s">
        <v>252</v>
      </c>
      <c r="B9" s="105">
        <f>F8</f>
        <v>30</v>
      </c>
      <c r="C9" s="106">
        <v>80</v>
      </c>
      <c r="D9" s="107">
        <f>B9+C9</f>
        <v>110</v>
      </c>
      <c r="E9" s="108">
        <f>SUM(M9:O9)</f>
        <v>84</v>
      </c>
      <c r="F9" s="107">
        <f>D9-E9</f>
        <v>26</v>
      </c>
      <c r="G9" s="101">
        <f>K8</f>
        <v>536.818181818182</v>
      </c>
      <c r="H9" s="102">
        <f>80*18</f>
        <v>1440</v>
      </c>
      <c r="I9" s="103">
        <f>G9+H9</f>
        <v>1976.818181818182</v>
      </c>
      <c r="J9" s="103">
        <f>IF(D9&gt;0,I9/D9*E9,0)</f>
        <v>1509.5702479338845</v>
      </c>
      <c r="K9" s="103">
        <f>I9-J9</f>
        <v>467.2479338842975</v>
      </c>
      <c r="L9" s="110">
        <f>I9/D9</f>
        <v>17.97107438016529</v>
      </c>
      <c r="M9" s="94">
        <v>23</v>
      </c>
      <c r="N9" s="95">
        <v>47</v>
      </c>
      <c r="O9" s="96">
        <v>14</v>
      </c>
      <c r="P9" s="99">
        <f>M9*L9</f>
        <v>413.3347107438017</v>
      </c>
      <c r="Q9" s="100">
        <f>N9*L9</f>
        <v>844.6404958677687</v>
      </c>
      <c r="R9" s="104">
        <f>O9*L9</f>
        <v>251.59504132231407</v>
      </c>
    </row>
    <row r="12" ht="12.75">
      <c r="A12" s="2" t="s">
        <v>258</v>
      </c>
    </row>
    <row r="13" spans="2:11" ht="12.75">
      <c r="B13" s="132" t="s">
        <v>247</v>
      </c>
      <c r="C13" s="133"/>
      <c r="D13" s="133"/>
      <c r="E13" s="133"/>
      <c r="F13" s="134"/>
      <c r="G13" s="135" t="s">
        <v>249</v>
      </c>
      <c r="H13" s="136"/>
      <c r="I13" s="136"/>
      <c r="J13" s="136"/>
      <c r="K13" s="137"/>
    </row>
    <row r="14" spans="1:11" ht="12.75">
      <c r="A14" s="70" t="s">
        <v>246</v>
      </c>
      <c r="B14" s="126" t="s">
        <v>395</v>
      </c>
      <c r="C14" s="71" t="s">
        <v>396</v>
      </c>
      <c r="D14" s="71" t="s">
        <v>397</v>
      </c>
      <c r="E14" s="71" t="s">
        <v>398</v>
      </c>
      <c r="F14" s="72" t="s">
        <v>399</v>
      </c>
      <c r="G14" s="126" t="s">
        <v>395</v>
      </c>
      <c r="H14" s="71" t="s">
        <v>396</v>
      </c>
      <c r="I14" s="71" t="s">
        <v>397</v>
      </c>
      <c r="J14" s="71" t="s">
        <v>398</v>
      </c>
      <c r="K14" s="72" t="s">
        <v>399</v>
      </c>
    </row>
    <row r="15" spans="1:11" ht="12.75">
      <c r="A15" t="s">
        <v>248</v>
      </c>
      <c r="B15" s="74">
        <v>0</v>
      </c>
      <c r="C15" s="75">
        <v>2000</v>
      </c>
      <c r="D15" s="76">
        <f>B15+C15</f>
        <v>2000</v>
      </c>
      <c r="E15" s="75">
        <v>1200</v>
      </c>
      <c r="F15" s="77">
        <f>D15-E15</f>
        <v>800</v>
      </c>
      <c r="G15" s="74">
        <v>0</v>
      </c>
      <c r="H15" s="75">
        <v>2000</v>
      </c>
      <c r="I15" s="76">
        <f>G15+H15</f>
        <v>2000</v>
      </c>
      <c r="J15" s="76">
        <f>IF(D15&gt;0,I15/D15*E15,0)</f>
        <v>1200</v>
      </c>
      <c r="K15" s="77">
        <f>I15-J15</f>
        <v>800</v>
      </c>
    </row>
    <row r="16" spans="1:11" ht="12.75">
      <c r="A16" t="s">
        <v>250</v>
      </c>
      <c r="B16" s="74">
        <f>F15</f>
        <v>800</v>
      </c>
      <c r="C16" s="75">
        <v>3000</v>
      </c>
      <c r="D16" s="76">
        <f>B16+C16</f>
        <v>3800</v>
      </c>
      <c r="E16" s="75">
        <v>1250</v>
      </c>
      <c r="F16" s="77">
        <f>D16-E16</f>
        <v>2550</v>
      </c>
      <c r="G16" s="74">
        <f>K15</f>
        <v>800</v>
      </c>
      <c r="H16" s="75">
        <v>3000</v>
      </c>
      <c r="I16" s="76">
        <f>G16+H16</f>
        <v>3800</v>
      </c>
      <c r="J16" s="76">
        <f>IF(D16&gt;0,I16/D16*E16,0)</f>
        <v>1250</v>
      </c>
      <c r="K16" s="77">
        <f>I16-J16</f>
        <v>2550</v>
      </c>
    </row>
    <row r="17" spans="1:11" ht="12.75">
      <c r="A17" t="s">
        <v>251</v>
      </c>
      <c r="B17" s="74">
        <f>F16</f>
        <v>2550</v>
      </c>
      <c r="C17" s="75">
        <v>1000</v>
      </c>
      <c r="D17" s="76">
        <f>B17+C17</f>
        <v>3550</v>
      </c>
      <c r="E17" s="75">
        <v>1900</v>
      </c>
      <c r="F17" s="77">
        <f>D17-E17</f>
        <v>1650</v>
      </c>
      <c r="G17" s="74">
        <f>K16</f>
        <v>2550</v>
      </c>
      <c r="H17" s="75">
        <v>1000</v>
      </c>
      <c r="I17" s="76">
        <f>G17+H17</f>
        <v>3550</v>
      </c>
      <c r="J17" s="76">
        <f>IF(D17&gt;0,I17/D17*E17,0)</f>
        <v>1900</v>
      </c>
      <c r="K17" s="77">
        <f>I17-J17</f>
        <v>1650</v>
      </c>
    </row>
    <row r="18" spans="1:11" ht="12.75">
      <c r="A18" t="s">
        <v>252</v>
      </c>
      <c r="B18" s="105">
        <f>F17</f>
        <v>1650</v>
      </c>
      <c r="C18" s="106">
        <v>1100</v>
      </c>
      <c r="D18" s="107">
        <f>B18+C18</f>
        <v>2750</v>
      </c>
      <c r="E18" s="106">
        <v>1000</v>
      </c>
      <c r="F18" s="127">
        <f>D18-E18</f>
        <v>1750</v>
      </c>
      <c r="G18" s="105">
        <f>K17</f>
        <v>1650</v>
      </c>
      <c r="H18" s="106">
        <v>1000</v>
      </c>
      <c r="I18" s="107">
        <f>G18+H18</f>
        <v>2650</v>
      </c>
      <c r="J18" s="107">
        <f>IF(D18&gt;0,I18/D18*E18,0)</f>
        <v>963.6363636363636</v>
      </c>
      <c r="K18" s="127">
        <f>I18-J18</f>
        <v>1686.3636363636365</v>
      </c>
    </row>
  </sheetData>
  <mergeCells count="6">
    <mergeCell ref="M4:O4"/>
    <mergeCell ref="P4:R4"/>
    <mergeCell ref="B4:F4"/>
    <mergeCell ref="B13:F13"/>
    <mergeCell ref="G13:K13"/>
    <mergeCell ref="G4:L4"/>
  </mergeCells>
  <printOptions/>
  <pageMargins left="0.75" right="0.75" top="1" bottom="1" header="0.5" footer="0.5"/>
  <pageSetup fitToHeight="1" fitToWidth="1" horizontalDpi="300" verticalDpi="3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workbookViewId="0" topLeftCell="A1">
      <pane xSplit="2" ySplit="3" topLeftCell="C3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51" sqref="A51"/>
    </sheetView>
  </sheetViews>
  <sheetFormatPr defaultColWidth="9.140625" defaultRowHeight="12.75"/>
  <cols>
    <col min="1" max="1" width="9.57421875" style="0" customWidth="1"/>
    <col min="2" max="2" width="17.8515625" style="0" customWidth="1"/>
    <col min="3" max="8" width="10.28125" style="0" bestFit="1" customWidth="1"/>
  </cols>
  <sheetData>
    <row r="1" ht="12.75">
      <c r="A1" s="2" t="s">
        <v>401</v>
      </c>
    </row>
    <row r="3" spans="1:8" ht="12.75">
      <c r="A3" s="2" t="s">
        <v>173</v>
      </c>
      <c r="C3" s="52">
        <v>37165</v>
      </c>
      <c r="D3" s="52">
        <v>37196</v>
      </c>
      <c r="E3" s="52">
        <v>37226</v>
      </c>
      <c r="F3" s="52">
        <v>37257</v>
      </c>
      <c r="G3" s="52">
        <v>37288</v>
      </c>
      <c r="H3" s="52">
        <v>37316</v>
      </c>
    </row>
    <row r="4" ht="12.75">
      <c r="A4" s="48" t="s">
        <v>174</v>
      </c>
    </row>
    <row r="5" spans="1:8" ht="12.75">
      <c r="A5" t="s">
        <v>402</v>
      </c>
      <c r="B5" s="55" t="s">
        <v>176</v>
      </c>
      <c r="C5" s="56">
        <v>200</v>
      </c>
      <c r="D5" s="57">
        <f>C5</f>
        <v>200</v>
      </c>
      <c r="E5" s="57">
        <f>D5</f>
        <v>200</v>
      </c>
      <c r="F5" s="57">
        <f>E5</f>
        <v>200</v>
      </c>
      <c r="G5" s="57">
        <f>F5</f>
        <v>200</v>
      </c>
      <c r="H5" s="57">
        <f>G5</f>
        <v>200</v>
      </c>
    </row>
    <row r="6" spans="1:8" ht="12.75">
      <c r="A6" t="s">
        <v>403</v>
      </c>
      <c r="B6" s="55" t="s">
        <v>177</v>
      </c>
      <c r="C6" s="57">
        <f aca="true" t="shared" si="0" ref="C6:H6">C5/12</f>
        <v>16.666666666666668</v>
      </c>
      <c r="D6" s="57">
        <f t="shared" si="0"/>
        <v>16.666666666666668</v>
      </c>
      <c r="E6" s="57">
        <f t="shared" si="0"/>
        <v>16.666666666666668</v>
      </c>
      <c r="F6" s="57">
        <f t="shared" si="0"/>
        <v>16.666666666666668</v>
      </c>
      <c r="G6" s="57">
        <f t="shared" si="0"/>
        <v>16.666666666666668</v>
      </c>
      <c r="H6" s="57">
        <f t="shared" si="0"/>
        <v>16.666666666666668</v>
      </c>
    </row>
    <row r="7" spans="1:8" ht="12.75">
      <c r="A7" t="s">
        <v>404</v>
      </c>
      <c r="B7" s="55" t="s">
        <v>178</v>
      </c>
      <c r="C7" s="57">
        <v>0</v>
      </c>
      <c r="D7" s="57">
        <v>0</v>
      </c>
      <c r="E7" s="57">
        <f>SUM(C6:D6)</f>
        <v>33.333333333333336</v>
      </c>
      <c r="F7" s="57">
        <v>0</v>
      </c>
      <c r="G7" s="57">
        <v>0</v>
      </c>
      <c r="H7" s="57">
        <v>0</v>
      </c>
    </row>
    <row r="8" spans="1:8" ht="12.75">
      <c r="A8" t="s">
        <v>405</v>
      </c>
      <c r="B8" s="55" t="s">
        <v>179</v>
      </c>
      <c r="C8" s="57">
        <f aca="true" t="shared" si="1" ref="C8:H8">C5*12.15%</f>
        <v>24.3</v>
      </c>
      <c r="D8" s="57">
        <f t="shared" si="1"/>
        <v>24.3</v>
      </c>
      <c r="E8" s="57">
        <f t="shared" si="1"/>
        <v>24.3</v>
      </c>
      <c r="F8" s="57">
        <f t="shared" si="1"/>
        <v>24.3</v>
      </c>
      <c r="G8" s="57">
        <f t="shared" si="1"/>
        <v>24.3</v>
      </c>
      <c r="H8" s="57">
        <f t="shared" si="1"/>
        <v>24.3</v>
      </c>
    </row>
    <row r="9" spans="1:8" ht="12.75">
      <c r="A9" t="s">
        <v>406</v>
      </c>
      <c r="B9" s="55" t="s">
        <v>180</v>
      </c>
      <c r="C9" s="57">
        <v>0</v>
      </c>
      <c r="D9" s="57">
        <f>C8</f>
        <v>24.3</v>
      </c>
      <c r="E9" s="57">
        <f>D8</f>
        <v>24.3</v>
      </c>
      <c r="F9" s="57">
        <f>E8</f>
        <v>24.3</v>
      </c>
      <c r="G9" s="57">
        <f>F8</f>
        <v>24.3</v>
      </c>
      <c r="H9" s="57">
        <f>G8</f>
        <v>24.3</v>
      </c>
    </row>
    <row r="10" spans="1:8" ht="12.75">
      <c r="A10" t="s">
        <v>407</v>
      </c>
      <c r="B10" s="55" t="s">
        <v>181</v>
      </c>
      <c r="C10" s="57">
        <f aca="true" t="shared" si="2" ref="C10:H10">8/12</f>
        <v>0.6666666666666666</v>
      </c>
      <c r="D10" s="57">
        <f t="shared" si="2"/>
        <v>0.6666666666666666</v>
      </c>
      <c r="E10" s="57">
        <f t="shared" si="2"/>
        <v>0.6666666666666666</v>
      </c>
      <c r="F10" s="57">
        <f t="shared" si="2"/>
        <v>0.6666666666666666</v>
      </c>
      <c r="G10" s="57">
        <f t="shared" si="2"/>
        <v>0.6666666666666666</v>
      </c>
      <c r="H10" s="57">
        <f t="shared" si="2"/>
        <v>0.6666666666666666</v>
      </c>
    </row>
    <row r="11" spans="1:8" ht="12.75">
      <c r="A11" t="s">
        <v>408</v>
      </c>
      <c r="B11" s="55" t="s">
        <v>182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</row>
    <row r="12" spans="2:8" ht="12.75">
      <c r="B12" s="55"/>
      <c r="C12" s="57"/>
      <c r="D12" s="57"/>
      <c r="E12" s="57"/>
      <c r="F12" s="57"/>
      <c r="G12" s="57"/>
      <c r="H12" s="57"/>
    </row>
    <row r="13" spans="1:8" ht="12.75">
      <c r="A13" s="48" t="s">
        <v>175</v>
      </c>
      <c r="B13" s="55"/>
      <c r="C13" s="57"/>
      <c r="D13" s="56"/>
      <c r="E13" s="57"/>
      <c r="F13" s="57"/>
      <c r="G13" s="57"/>
      <c r="H13" s="57"/>
    </row>
    <row r="14" spans="1:8" ht="12.75">
      <c r="A14" t="s">
        <v>402</v>
      </c>
      <c r="B14" s="55" t="s">
        <v>176</v>
      </c>
      <c r="C14" s="56">
        <v>0</v>
      </c>
      <c r="D14" s="56">
        <v>1000</v>
      </c>
      <c r="E14" s="57">
        <f>D14</f>
        <v>1000</v>
      </c>
      <c r="F14" s="57">
        <f>E14</f>
        <v>1000</v>
      </c>
      <c r="G14" s="57">
        <f>F14</f>
        <v>1000</v>
      </c>
      <c r="H14" s="57">
        <f>G14</f>
        <v>1000</v>
      </c>
    </row>
    <row r="15" spans="1:8" ht="12.75">
      <c r="A15" t="s">
        <v>403</v>
      </c>
      <c r="B15" s="55" t="s">
        <v>177</v>
      </c>
      <c r="C15" s="57">
        <f aca="true" t="shared" si="3" ref="C15:H15">C14/12</f>
        <v>0</v>
      </c>
      <c r="D15" s="57">
        <f t="shared" si="3"/>
        <v>83.33333333333333</v>
      </c>
      <c r="E15" s="57">
        <f t="shared" si="3"/>
        <v>83.33333333333333</v>
      </c>
      <c r="F15" s="57">
        <f t="shared" si="3"/>
        <v>83.33333333333333</v>
      </c>
      <c r="G15" s="57">
        <f t="shared" si="3"/>
        <v>83.33333333333333</v>
      </c>
      <c r="H15" s="57">
        <f t="shared" si="3"/>
        <v>83.33333333333333</v>
      </c>
    </row>
    <row r="16" spans="1:8" ht="12.75">
      <c r="A16" t="s">
        <v>404</v>
      </c>
      <c r="B16" s="55" t="s">
        <v>178</v>
      </c>
      <c r="C16" s="57">
        <v>0</v>
      </c>
      <c r="D16" s="57">
        <v>0</v>
      </c>
      <c r="E16" s="57">
        <f>SUM(C15:D15)</f>
        <v>83.33333333333333</v>
      </c>
      <c r="F16" s="57">
        <v>0</v>
      </c>
      <c r="G16" s="57">
        <v>0</v>
      </c>
      <c r="H16" s="57">
        <v>0</v>
      </c>
    </row>
    <row r="17" spans="1:8" ht="12.75">
      <c r="A17" t="s">
        <v>405</v>
      </c>
      <c r="B17" s="55" t="s">
        <v>179</v>
      </c>
      <c r="C17" s="57">
        <f aca="true" t="shared" si="4" ref="C17:H17">C14*12.15%</f>
        <v>0</v>
      </c>
      <c r="D17" s="57">
        <f t="shared" si="4"/>
        <v>121.5</v>
      </c>
      <c r="E17" s="57">
        <f t="shared" si="4"/>
        <v>121.5</v>
      </c>
      <c r="F17" s="57">
        <f t="shared" si="4"/>
        <v>121.5</v>
      </c>
      <c r="G17" s="57">
        <f t="shared" si="4"/>
        <v>121.5</v>
      </c>
      <c r="H17" s="57">
        <f t="shared" si="4"/>
        <v>121.5</v>
      </c>
    </row>
    <row r="18" spans="1:8" ht="12.75">
      <c r="A18" t="s">
        <v>406</v>
      </c>
      <c r="B18" s="55" t="s">
        <v>180</v>
      </c>
      <c r="C18" s="57">
        <v>0</v>
      </c>
      <c r="D18" s="57">
        <f>C17</f>
        <v>0</v>
      </c>
      <c r="E18" s="57">
        <f>D17</f>
        <v>121.5</v>
      </c>
      <c r="F18" s="57">
        <f>E17</f>
        <v>121.5</v>
      </c>
      <c r="G18" s="57">
        <f>F17</f>
        <v>121.5</v>
      </c>
      <c r="H18" s="57">
        <f>G17</f>
        <v>121.5</v>
      </c>
    </row>
    <row r="19" spans="1:8" ht="12.75">
      <c r="A19" t="s">
        <v>407</v>
      </c>
      <c r="B19" s="55" t="s">
        <v>181</v>
      </c>
      <c r="C19" s="57">
        <v>0</v>
      </c>
      <c r="D19" s="57">
        <f>8/12</f>
        <v>0.6666666666666666</v>
      </c>
      <c r="E19" s="57">
        <f>8/12</f>
        <v>0.6666666666666666</v>
      </c>
      <c r="F19" s="57">
        <f>8/12</f>
        <v>0.6666666666666666</v>
      </c>
      <c r="G19" s="57">
        <f>8/12</f>
        <v>0.6666666666666666</v>
      </c>
      <c r="H19" s="57">
        <f>8/12</f>
        <v>0.6666666666666666</v>
      </c>
    </row>
    <row r="20" spans="1:8" ht="12.75">
      <c r="A20" t="s">
        <v>408</v>
      </c>
      <c r="B20" s="55" t="s">
        <v>182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</row>
    <row r="21" spans="3:8" ht="12.75">
      <c r="C21" s="9"/>
      <c r="D21" s="9"/>
      <c r="E21" s="9"/>
      <c r="F21" s="9"/>
      <c r="G21" s="9"/>
      <c r="H21" s="9"/>
    </row>
    <row r="22" spans="1:8" ht="12.75">
      <c r="A22" s="2" t="s">
        <v>185</v>
      </c>
      <c r="C22" s="9"/>
      <c r="D22" s="9"/>
      <c r="E22" s="9"/>
      <c r="F22" s="9"/>
      <c r="G22" s="9"/>
      <c r="H22" s="9"/>
    </row>
    <row r="23" spans="1:8" ht="12.75">
      <c r="A23" s="48" t="s">
        <v>186</v>
      </c>
      <c r="C23" s="9"/>
      <c r="D23" s="56"/>
      <c r="E23" s="9"/>
      <c r="F23" s="9"/>
      <c r="G23" s="9"/>
      <c r="H23" s="9"/>
    </row>
    <row r="24" spans="1:8" ht="12.75">
      <c r="A24" t="s">
        <v>402</v>
      </c>
      <c r="B24" s="55" t="s">
        <v>176</v>
      </c>
      <c r="C24" s="56">
        <v>0</v>
      </c>
      <c r="D24" s="56">
        <v>350</v>
      </c>
      <c r="E24" s="57">
        <f>D24</f>
        <v>350</v>
      </c>
      <c r="F24" s="57">
        <f>E24</f>
        <v>350</v>
      </c>
      <c r="G24" s="57">
        <f>F24</f>
        <v>350</v>
      </c>
      <c r="H24" s="57">
        <f>G24</f>
        <v>350</v>
      </c>
    </row>
    <row r="25" spans="1:8" ht="12.75">
      <c r="A25" t="s">
        <v>403</v>
      </c>
      <c r="B25" s="55" t="s">
        <v>177</v>
      </c>
      <c r="C25" s="57">
        <f aca="true" t="shared" si="5" ref="C25:H25">C24/12</f>
        <v>0</v>
      </c>
      <c r="D25" s="57">
        <f t="shared" si="5"/>
        <v>29.166666666666668</v>
      </c>
      <c r="E25" s="57">
        <f t="shared" si="5"/>
        <v>29.166666666666668</v>
      </c>
      <c r="F25" s="57">
        <f t="shared" si="5"/>
        <v>29.166666666666668</v>
      </c>
      <c r="G25" s="57">
        <f t="shared" si="5"/>
        <v>29.166666666666668</v>
      </c>
      <c r="H25" s="57">
        <f t="shared" si="5"/>
        <v>29.166666666666668</v>
      </c>
    </row>
    <row r="26" spans="1:8" ht="12.75">
      <c r="A26" t="s">
        <v>404</v>
      </c>
      <c r="B26" s="55" t="s">
        <v>178</v>
      </c>
      <c r="C26" s="57">
        <v>0</v>
      </c>
      <c r="D26" s="57">
        <v>0</v>
      </c>
      <c r="E26" s="57">
        <f>SUM(C25:D25)</f>
        <v>29.166666666666668</v>
      </c>
      <c r="F26" s="57">
        <v>0</v>
      </c>
      <c r="G26" s="57">
        <v>0</v>
      </c>
      <c r="H26" s="57">
        <v>0</v>
      </c>
    </row>
    <row r="27" spans="1:8" ht="12.75">
      <c r="A27" t="s">
        <v>405</v>
      </c>
      <c r="B27" s="55" t="s">
        <v>179</v>
      </c>
      <c r="C27" s="57">
        <f aca="true" t="shared" si="6" ref="C27:H27">C24*12.15%</f>
        <v>0</v>
      </c>
      <c r="D27" s="57">
        <f t="shared" si="6"/>
        <v>42.525</v>
      </c>
      <c r="E27" s="57">
        <f t="shared" si="6"/>
        <v>42.525</v>
      </c>
      <c r="F27" s="57">
        <f t="shared" si="6"/>
        <v>42.525</v>
      </c>
      <c r="G27" s="57">
        <f t="shared" si="6"/>
        <v>42.525</v>
      </c>
      <c r="H27" s="57">
        <f t="shared" si="6"/>
        <v>42.525</v>
      </c>
    </row>
    <row r="28" spans="1:8" ht="12.75">
      <c r="A28" t="s">
        <v>406</v>
      </c>
      <c r="B28" s="55" t="s">
        <v>180</v>
      </c>
      <c r="C28" s="57">
        <v>0</v>
      </c>
      <c r="D28" s="57">
        <f>C27</f>
        <v>0</v>
      </c>
      <c r="E28" s="57">
        <f>D27</f>
        <v>42.525</v>
      </c>
      <c r="F28" s="57">
        <f>E27</f>
        <v>42.525</v>
      </c>
      <c r="G28" s="57">
        <f>F27</f>
        <v>42.525</v>
      </c>
      <c r="H28" s="57">
        <f>G27</f>
        <v>42.525</v>
      </c>
    </row>
    <row r="29" spans="1:8" ht="12.75">
      <c r="A29" t="s">
        <v>407</v>
      </c>
      <c r="B29" s="55" t="s">
        <v>181</v>
      </c>
      <c r="C29" s="57">
        <v>0</v>
      </c>
      <c r="D29" s="57">
        <f>8/12</f>
        <v>0.6666666666666666</v>
      </c>
      <c r="E29" s="57">
        <f>8/12</f>
        <v>0.6666666666666666</v>
      </c>
      <c r="F29" s="57">
        <f>8/12</f>
        <v>0.6666666666666666</v>
      </c>
      <c r="G29" s="57">
        <f>8/12</f>
        <v>0.6666666666666666</v>
      </c>
      <c r="H29" s="57">
        <f>8/12</f>
        <v>0.6666666666666666</v>
      </c>
    </row>
    <row r="30" spans="1:8" ht="12.75">
      <c r="A30" t="s">
        <v>408</v>
      </c>
      <c r="B30" s="55" t="s">
        <v>182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</row>
    <row r="31" spans="3:8" ht="12.75">
      <c r="C31" s="9"/>
      <c r="D31" s="9"/>
      <c r="E31" s="9"/>
      <c r="F31" s="9"/>
      <c r="G31" s="9"/>
      <c r="H31" s="9"/>
    </row>
    <row r="32" spans="1:8" ht="12.75">
      <c r="A32" s="58" t="s">
        <v>187</v>
      </c>
      <c r="C32" s="9"/>
      <c r="D32" s="56"/>
      <c r="E32" s="9"/>
      <c r="F32" s="9"/>
      <c r="G32" s="9"/>
      <c r="H32" s="9"/>
    </row>
    <row r="33" spans="1:8" ht="12.75">
      <c r="A33" t="s">
        <v>402</v>
      </c>
      <c r="B33" s="55" t="s">
        <v>176</v>
      </c>
      <c r="C33" s="56">
        <v>0</v>
      </c>
      <c r="D33" s="56">
        <f>125*4</f>
        <v>500</v>
      </c>
      <c r="E33" s="57">
        <f>D33</f>
        <v>500</v>
      </c>
      <c r="F33" s="57">
        <f>E33</f>
        <v>500</v>
      </c>
      <c r="G33" s="57">
        <f>F33</f>
        <v>500</v>
      </c>
      <c r="H33" s="57">
        <f>G33</f>
        <v>500</v>
      </c>
    </row>
    <row r="34" spans="1:8" ht="12.75">
      <c r="A34" t="s">
        <v>403</v>
      </c>
      <c r="B34" s="55" t="s">
        <v>177</v>
      </c>
      <c r="C34" s="57">
        <f aca="true" t="shared" si="7" ref="C34:H34">C33/12</f>
        <v>0</v>
      </c>
      <c r="D34" s="57">
        <f t="shared" si="7"/>
        <v>41.666666666666664</v>
      </c>
      <c r="E34" s="57">
        <f t="shared" si="7"/>
        <v>41.666666666666664</v>
      </c>
      <c r="F34" s="57">
        <f t="shared" si="7"/>
        <v>41.666666666666664</v>
      </c>
      <c r="G34" s="57">
        <f t="shared" si="7"/>
        <v>41.666666666666664</v>
      </c>
      <c r="H34" s="57">
        <f t="shared" si="7"/>
        <v>41.666666666666664</v>
      </c>
    </row>
    <row r="35" spans="1:8" ht="12.75">
      <c r="A35" t="s">
        <v>404</v>
      </c>
      <c r="B35" s="55" t="s">
        <v>178</v>
      </c>
      <c r="C35" s="57">
        <v>0</v>
      </c>
      <c r="D35" s="57">
        <v>0</v>
      </c>
      <c r="E35" s="57">
        <f>SUM(C34:D34)</f>
        <v>41.666666666666664</v>
      </c>
      <c r="F35" s="57">
        <v>0</v>
      </c>
      <c r="G35" s="57">
        <v>0</v>
      </c>
      <c r="H35" s="57">
        <v>0</v>
      </c>
    </row>
    <row r="36" spans="1:8" ht="12.75">
      <c r="A36" t="s">
        <v>405</v>
      </c>
      <c r="B36" s="55" t="s">
        <v>179</v>
      </c>
      <c r="C36" s="57">
        <f aca="true" t="shared" si="8" ref="C36:H36">C33*12.15%</f>
        <v>0</v>
      </c>
      <c r="D36" s="57">
        <f t="shared" si="8"/>
        <v>60.75</v>
      </c>
      <c r="E36" s="57">
        <f t="shared" si="8"/>
        <v>60.75</v>
      </c>
      <c r="F36" s="57">
        <f t="shared" si="8"/>
        <v>60.75</v>
      </c>
      <c r="G36" s="57">
        <f t="shared" si="8"/>
        <v>60.75</v>
      </c>
      <c r="H36" s="57">
        <f t="shared" si="8"/>
        <v>60.75</v>
      </c>
    </row>
    <row r="37" spans="1:8" ht="12.75">
      <c r="A37" t="s">
        <v>406</v>
      </c>
      <c r="B37" s="55" t="s">
        <v>180</v>
      </c>
      <c r="C37" s="57">
        <v>0</v>
      </c>
      <c r="D37" s="57">
        <f>C36</f>
        <v>0</v>
      </c>
      <c r="E37" s="57">
        <f>D36</f>
        <v>60.75</v>
      </c>
      <c r="F37" s="57">
        <f>E36</f>
        <v>60.75</v>
      </c>
      <c r="G37" s="57">
        <f>F36</f>
        <v>60.75</v>
      </c>
      <c r="H37" s="57">
        <f>G36</f>
        <v>60.75</v>
      </c>
    </row>
    <row r="38" spans="1:8" ht="12.75">
      <c r="A38" t="s">
        <v>407</v>
      </c>
      <c r="B38" s="55" t="s">
        <v>181</v>
      </c>
      <c r="C38" s="57">
        <v>0</v>
      </c>
      <c r="D38" s="57">
        <f>8/12*4</f>
        <v>2.6666666666666665</v>
      </c>
      <c r="E38" s="57">
        <f>8/12*4</f>
        <v>2.6666666666666665</v>
      </c>
      <c r="F38" s="57">
        <f>8/12*4</f>
        <v>2.6666666666666665</v>
      </c>
      <c r="G38" s="57">
        <f>8/12*4</f>
        <v>2.6666666666666665</v>
      </c>
      <c r="H38" s="57">
        <f>8/12*4</f>
        <v>2.6666666666666665</v>
      </c>
    </row>
    <row r="39" spans="1:8" ht="12.75">
      <c r="A39" t="s">
        <v>408</v>
      </c>
      <c r="B39" s="55" t="s">
        <v>182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</row>
    <row r="42" ht="12.75">
      <c r="A42" s="2" t="s">
        <v>198</v>
      </c>
    </row>
    <row r="43" spans="1:8" ht="12.75">
      <c r="A43" s="4" t="s">
        <v>409</v>
      </c>
      <c r="B43" s="4" t="s">
        <v>189</v>
      </c>
      <c r="C43" s="34">
        <f aca="true" t="shared" si="9" ref="C43:H43">C5+C6+C8+C10+C14+C15+C17+C19</f>
        <v>241.63333333333333</v>
      </c>
      <c r="D43" s="34">
        <f t="shared" si="9"/>
        <v>1447.1333333333332</v>
      </c>
      <c r="E43" s="34">
        <f t="shared" si="9"/>
        <v>1447.1333333333332</v>
      </c>
      <c r="F43" s="34">
        <f t="shared" si="9"/>
        <v>1447.1333333333332</v>
      </c>
      <c r="G43" s="34">
        <f t="shared" si="9"/>
        <v>1447.1333333333332</v>
      </c>
      <c r="H43" s="34">
        <f t="shared" si="9"/>
        <v>1447.1333333333332</v>
      </c>
    </row>
    <row r="44" spans="1:8" ht="12.75">
      <c r="A44" s="4" t="s">
        <v>409</v>
      </c>
      <c r="B44" s="4" t="s">
        <v>188</v>
      </c>
      <c r="C44" s="34">
        <f aca="true" t="shared" si="10" ref="C44:H44">C24+C25+C27+C29+C33+C34+C36+C38</f>
        <v>0</v>
      </c>
      <c r="D44" s="34">
        <f t="shared" si="10"/>
        <v>1027.4416666666668</v>
      </c>
      <c r="E44" s="34">
        <f t="shared" si="10"/>
        <v>1027.4416666666668</v>
      </c>
      <c r="F44" s="34">
        <f t="shared" si="10"/>
        <v>1027.4416666666668</v>
      </c>
      <c r="G44" s="34">
        <f t="shared" si="10"/>
        <v>1027.4416666666668</v>
      </c>
      <c r="H44" s="34">
        <f t="shared" si="10"/>
        <v>1027.4416666666668</v>
      </c>
    </row>
    <row r="45" spans="2:8" ht="12.75">
      <c r="B45" s="4"/>
      <c r="C45" s="60">
        <f aca="true" t="shared" si="11" ref="C45:H45">SUM(C43:C44)</f>
        <v>241.63333333333333</v>
      </c>
      <c r="D45" s="60">
        <f t="shared" si="11"/>
        <v>2474.575</v>
      </c>
      <c r="E45" s="60">
        <f t="shared" si="11"/>
        <v>2474.575</v>
      </c>
      <c r="F45" s="60">
        <f t="shared" si="11"/>
        <v>2474.575</v>
      </c>
      <c r="G45" s="60">
        <f t="shared" si="11"/>
        <v>2474.575</v>
      </c>
      <c r="H45" s="60">
        <f t="shared" si="11"/>
        <v>2474.575</v>
      </c>
    </row>
    <row r="46" spans="2:8" ht="12.75">
      <c r="B46" s="4"/>
      <c r="C46" s="34"/>
      <c r="D46" s="34"/>
      <c r="E46" s="34"/>
      <c r="F46" s="34"/>
      <c r="G46" s="34"/>
      <c r="H46" s="34"/>
    </row>
    <row r="47" spans="1:8" ht="12.75">
      <c r="A47" t="s">
        <v>410</v>
      </c>
      <c r="B47" t="s">
        <v>190</v>
      </c>
      <c r="C47" s="34">
        <f aca="true" t="shared" si="12" ref="C47:H47">C5+C7+C9+C11+C14+C16+C18+C20+C24+C26+C28+C30+C33+C35+C37+C39</f>
        <v>200</v>
      </c>
      <c r="D47" s="34">
        <f t="shared" si="12"/>
        <v>2074.3</v>
      </c>
      <c r="E47" s="34">
        <f t="shared" si="12"/>
        <v>2486.575</v>
      </c>
      <c r="F47" s="34">
        <f t="shared" si="12"/>
        <v>2299.075</v>
      </c>
      <c r="G47" s="34">
        <f t="shared" si="12"/>
        <v>2299.075</v>
      </c>
      <c r="H47" s="34">
        <f t="shared" si="12"/>
        <v>2299.075</v>
      </c>
    </row>
    <row r="48" spans="1:8" ht="12.75">
      <c r="A48" t="s">
        <v>411</v>
      </c>
      <c r="B48" t="s">
        <v>191</v>
      </c>
      <c r="C48" s="34">
        <f aca="true" t="shared" si="13" ref="C48:H48">C6+C10+C15+C19+C25+C29+C34+C38</f>
        <v>17.333333333333336</v>
      </c>
      <c r="D48" s="34">
        <f t="shared" si="13"/>
        <v>175.49999999999997</v>
      </c>
      <c r="E48" s="34">
        <f t="shared" si="13"/>
        <v>175.49999999999997</v>
      </c>
      <c r="F48" s="34">
        <f t="shared" si="13"/>
        <v>175.49999999999997</v>
      </c>
      <c r="G48" s="34">
        <f t="shared" si="13"/>
        <v>175.49999999999997</v>
      </c>
      <c r="H48" s="34">
        <f t="shared" si="13"/>
        <v>175.49999999999997</v>
      </c>
    </row>
    <row r="49" spans="1:8" ht="12.75">
      <c r="A49" s="4" t="s">
        <v>412</v>
      </c>
      <c r="B49" s="7" t="s">
        <v>193</v>
      </c>
      <c r="C49" s="34">
        <f aca="true" t="shared" si="14" ref="C49:H49">-(C7+C11+C16+C20+C26+C30+C35+C39)</f>
        <v>0</v>
      </c>
      <c r="D49" s="34">
        <f t="shared" si="14"/>
        <v>0</v>
      </c>
      <c r="E49" s="34">
        <f t="shared" si="14"/>
        <v>-187.49999999999997</v>
      </c>
      <c r="F49" s="34">
        <f t="shared" si="14"/>
        <v>0</v>
      </c>
      <c r="G49" s="34">
        <f t="shared" si="14"/>
        <v>0</v>
      </c>
      <c r="H49" s="34">
        <f t="shared" si="14"/>
        <v>0</v>
      </c>
    </row>
    <row r="50" spans="1:8" ht="12.75">
      <c r="A50" t="s">
        <v>405</v>
      </c>
      <c r="B50" s="4" t="s">
        <v>192</v>
      </c>
      <c r="C50" s="34">
        <f aca="true" t="shared" si="15" ref="C50:H50">C8+C17+C27+C36</f>
        <v>24.3</v>
      </c>
      <c r="D50" s="34">
        <f t="shared" si="15"/>
        <v>249.07500000000002</v>
      </c>
      <c r="E50" s="34">
        <f t="shared" si="15"/>
        <v>249.07500000000002</v>
      </c>
      <c r="F50" s="34">
        <f t="shared" si="15"/>
        <v>249.07500000000002</v>
      </c>
      <c r="G50" s="34">
        <f t="shared" si="15"/>
        <v>249.07500000000002</v>
      </c>
      <c r="H50" s="34">
        <f t="shared" si="15"/>
        <v>249.07500000000002</v>
      </c>
    </row>
    <row r="51" spans="1:8" ht="12.75">
      <c r="A51" s="4" t="s">
        <v>413</v>
      </c>
      <c r="B51" s="4" t="s">
        <v>194</v>
      </c>
      <c r="C51" s="34">
        <f aca="true" t="shared" si="16" ref="C51:H51">-(C9+C18+C28+C37)</f>
        <v>0</v>
      </c>
      <c r="D51" s="34">
        <f t="shared" si="16"/>
        <v>-24.3</v>
      </c>
      <c r="E51" s="34">
        <f t="shared" si="16"/>
        <v>-249.07500000000002</v>
      </c>
      <c r="F51" s="34">
        <f t="shared" si="16"/>
        <v>-249.07500000000002</v>
      </c>
      <c r="G51" s="34">
        <f t="shared" si="16"/>
        <v>-249.07500000000002</v>
      </c>
      <c r="H51" s="34">
        <f t="shared" si="16"/>
        <v>-249.07500000000002</v>
      </c>
    </row>
    <row r="52" spans="3:8" ht="12.75">
      <c r="C52" s="60">
        <f aca="true" t="shared" si="17" ref="C52:H52">SUM(C47:C51)</f>
        <v>241.63333333333335</v>
      </c>
      <c r="D52" s="60">
        <f t="shared" si="17"/>
        <v>2474.575</v>
      </c>
      <c r="E52" s="60">
        <f t="shared" si="17"/>
        <v>2474.575</v>
      </c>
      <c r="F52" s="60">
        <f t="shared" si="17"/>
        <v>2474.575</v>
      </c>
      <c r="G52" s="60">
        <f t="shared" si="17"/>
        <v>2474.575</v>
      </c>
      <c r="H52" s="60">
        <f t="shared" si="17"/>
        <v>2474.575</v>
      </c>
    </row>
    <row r="53" spans="3:8" ht="12.75">
      <c r="C53" s="34">
        <f aca="true" t="shared" si="18" ref="C53:H53">C52-C45</f>
        <v>0</v>
      </c>
      <c r="D53" s="34">
        <f t="shared" si="18"/>
        <v>0</v>
      </c>
      <c r="E53" s="34">
        <f t="shared" si="18"/>
        <v>0</v>
      </c>
      <c r="F53" s="34">
        <f t="shared" si="18"/>
        <v>0</v>
      </c>
      <c r="G53" s="34">
        <f t="shared" si="18"/>
        <v>0</v>
      </c>
      <c r="H53" s="34">
        <f t="shared" si="18"/>
        <v>0</v>
      </c>
    </row>
  </sheetData>
  <printOptions/>
  <pageMargins left="0.75" right="0.75" top="1" bottom="1" header="0.5" footer="0.5"/>
  <pageSetup fitToHeight="1" fitToWidth="1"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8"/>
  <sheetViews>
    <sheetView workbookViewId="0" topLeftCell="A1">
      <selection activeCell="A1" sqref="A1"/>
    </sheetView>
  </sheetViews>
  <sheetFormatPr defaultColWidth="9.140625" defaultRowHeight="12.75"/>
  <cols>
    <col min="2" max="2" width="10.7109375" style="0" bestFit="1" customWidth="1"/>
    <col min="3" max="3" width="10.28125" style="0" customWidth="1"/>
    <col min="4" max="4" width="10.28125" style="0" bestFit="1" customWidth="1"/>
  </cols>
  <sheetData>
    <row r="3" spans="2:4" ht="12.75">
      <c r="B3" t="s">
        <v>154</v>
      </c>
      <c r="D3" t="s">
        <v>155</v>
      </c>
    </row>
    <row r="4" spans="1:4" ht="12.75">
      <c r="A4" t="s">
        <v>156</v>
      </c>
      <c r="B4" s="48">
        <v>2</v>
      </c>
      <c r="C4" s="48"/>
      <c r="D4" s="48">
        <v>3</v>
      </c>
    </row>
    <row r="5" spans="1:4" ht="12.75">
      <c r="A5" t="s">
        <v>157</v>
      </c>
      <c r="B5" s="14">
        <v>400000</v>
      </c>
      <c r="C5" s="14"/>
      <c r="D5" s="14">
        <v>500000</v>
      </c>
    </row>
    <row r="6" spans="1:8" ht="12.75">
      <c r="A6" t="s">
        <v>158</v>
      </c>
      <c r="B6" s="1">
        <f>B5*B4</f>
        <v>800000</v>
      </c>
      <c r="C6" s="1"/>
      <c r="D6" s="1">
        <f>D5*D4</f>
        <v>1500000</v>
      </c>
      <c r="F6" t="s">
        <v>171</v>
      </c>
      <c r="G6" t="s">
        <v>170</v>
      </c>
      <c r="H6" t="s">
        <v>169</v>
      </c>
    </row>
    <row r="7" spans="1:8" ht="12.75">
      <c r="A7" t="s">
        <v>159</v>
      </c>
      <c r="B7" s="1">
        <f>C7*40</f>
        <v>960</v>
      </c>
      <c r="C7" s="14">
        <v>24</v>
      </c>
      <c r="D7" s="1">
        <f>E7*40</f>
        <v>1640</v>
      </c>
      <c r="E7" s="14">
        <v>41</v>
      </c>
      <c r="F7" s="1">
        <f>E7+C7</f>
        <v>65</v>
      </c>
      <c r="G7">
        <v>75</v>
      </c>
      <c r="H7" s="1">
        <f>G7-F7</f>
        <v>10</v>
      </c>
    </row>
    <row r="8" spans="1:8" ht="12.75">
      <c r="A8" t="s">
        <v>160</v>
      </c>
      <c r="B8" s="1">
        <f>C8*40</f>
        <v>2880</v>
      </c>
      <c r="C8" s="14">
        <v>72</v>
      </c>
      <c r="D8" s="1">
        <f>E8*40</f>
        <v>4960</v>
      </c>
      <c r="E8" s="14">
        <v>124</v>
      </c>
      <c r="F8" s="1">
        <f>E8+C8</f>
        <v>196</v>
      </c>
      <c r="G8">
        <v>200</v>
      </c>
      <c r="H8" s="1">
        <f>H7+G8-F8</f>
        <v>14</v>
      </c>
    </row>
    <row r="9" spans="1:8" ht="12.75">
      <c r="A9" t="s">
        <v>161</v>
      </c>
      <c r="B9" s="1">
        <f>C9*40</f>
        <v>3160</v>
      </c>
      <c r="C9" s="14">
        <v>79</v>
      </c>
      <c r="D9" s="1">
        <f>E9*40</f>
        <v>6200</v>
      </c>
      <c r="E9" s="14">
        <v>155</v>
      </c>
      <c r="F9" s="1">
        <f>E9+C9</f>
        <v>234</v>
      </c>
      <c r="G9">
        <v>250</v>
      </c>
      <c r="H9" s="1">
        <f>H8+G9-F9</f>
        <v>30</v>
      </c>
    </row>
    <row r="10" spans="1:8" ht="12.75">
      <c r="A10" t="s">
        <v>162</v>
      </c>
      <c r="B10" s="1">
        <f>C10*40</f>
        <v>920</v>
      </c>
      <c r="C10" s="14">
        <v>23</v>
      </c>
      <c r="D10" s="1">
        <f>E10*40</f>
        <v>1880</v>
      </c>
      <c r="E10" s="14">
        <v>47</v>
      </c>
      <c r="F10" s="1">
        <f>E10+C10</f>
        <v>70</v>
      </c>
      <c r="G10">
        <v>80</v>
      </c>
      <c r="H10" s="1">
        <f>H9+G10-F10</f>
        <v>40</v>
      </c>
    </row>
    <row r="11" spans="1:4" ht="12.75">
      <c r="A11" t="s">
        <v>163</v>
      </c>
      <c r="B11" s="1">
        <f>SUM(B7:B10)</f>
        <v>7920</v>
      </c>
      <c r="C11" s="1"/>
      <c r="D11" s="1">
        <f>SUM(D7:D10)</f>
        <v>14680</v>
      </c>
    </row>
    <row r="12" spans="1:4" ht="12.75">
      <c r="A12" t="s">
        <v>164</v>
      </c>
      <c r="B12" s="50">
        <f>B14*454/B13/B6</f>
        <v>0.4053571428571428</v>
      </c>
      <c r="C12" s="38"/>
      <c r="D12" s="50">
        <f>D14*454/D13/D6</f>
        <v>0.454</v>
      </c>
    </row>
    <row r="13" spans="1:4" ht="12.75">
      <c r="A13" t="s">
        <v>165</v>
      </c>
      <c r="B13" s="48">
        <v>14</v>
      </c>
      <c r="C13" s="48"/>
      <c r="D13" s="48">
        <v>12</v>
      </c>
    </row>
    <row r="14" spans="1:4" ht="12.75">
      <c r="A14" t="s">
        <v>166</v>
      </c>
      <c r="B14" s="14">
        <v>10000</v>
      </c>
      <c r="C14" s="1"/>
      <c r="D14" s="14">
        <v>18000</v>
      </c>
    </row>
    <row r="15" spans="1:4" ht="12.75">
      <c r="A15" t="s">
        <v>167</v>
      </c>
      <c r="B15" s="1">
        <f>B14/B4</f>
        <v>5000</v>
      </c>
      <c r="C15" s="1"/>
      <c r="D15" s="1">
        <f>D14/D4</f>
        <v>6000</v>
      </c>
    </row>
    <row r="16" spans="1:4" ht="12.75">
      <c r="A16" t="s">
        <v>168</v>
      </c>
      <c r="B16" s="49">
        <f>B11*2.2/B14</f>
        <v>1.7424</v>
      </c>
      <c r="C16" s="49"/>
      <c r="D16" s="49">
        <f>D11*2.2/D14</f>
        <v>1.7942222222222224</v>
      </c>
    </row>
    <row r="17" spans="1:4" ht="12.75">
      <c r="A17" t="s">
        <v>172</v>
      </c>
      <c r="B17" s="44">
        <v>1.6</v>
      </c>
      <c r="D17" s="44">
        <v>1.4</v>
      </c>
    </row>
    <row r="18" spans="1:4" ht="12.75">
      <c r="A18" t="s">
        <v>79</v>
      </c>
      <c r="B18" s="1">
        <f>B17*B14</f>
        <v>16000</v>
      </c>
      <c r="D18" s="1">
        <f>D17*D14</f>
        <v>25200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workbookViewId="0" topLeftCell="A1">
      <selection activeCell="B12" sqref="B12"/>
    </sheetView>
  </sheetViews>
  <sheetFormatPr defaultColWidth="9.140625" defaultRowHeight="12.75"/>
  <cols>
    <col min="1" max="1" width="14.8515625" style="0" bestFit="1" customWidth="1"/>
    <col min="2" max="2" width="11.28125" style="0" bestFit="1" customWidth="1"/>
    <col min="3" max="3" width="11.421875" style="0" bestFit="1" customWidth="1"/>
    <col min="4" max="4" width="11.28125" style="0" bestFit="1" customWidth="1"/>
    <col min="5" max="5" width="10.28125" style="0" bestFit="1" customWidth="1"/>
  </cols>
  <sheetData>
    <row r="1" ht="12.75">
      <c r="A1" s="2" t="s">
        <v>414</v>
      </c>
    </row>
    <row r="2" spans="1:3" ht="12.75">
      <c r="A2" s="2" t="s">
        <v>103</v>
      </c>
      <c r="B2" s="38">
        <v>0.15</v>
      </c>
      <c r="C2" s="4" t="s">
        <v>34</v>
      </c>
    </row>
    <row r="3" spans="2:5" ht="12.75">
      <c r="B3" t="s">
        <v>5</v>
      </c>
      <c r="C3" s="4" t="s">
        <v>106</v>
      </c>
      <c r="D3" s="4" t="s">
        <v>62</v>
      </c>
      <c r="E3" t="s">
        <v>63</v>
      </c>
    </row>
    <row r="4" spans="1:5" ht="12.75">
      <c r="A4">
        <v>0</v>
      </c>
      <c r="B4" s="14">
        <v>25000</v>
      </c>
      <c r="C4" s="1">
        <v>0</v>
      </c>
      <c r="D4" s="1">
        <v>0</v>
      </c>
      <c r="E4" s="1">
        <v>0</v>
      </c>
    </row>
    <row r="5" spans="1:5" ht="12.75">
      <c r="A5">
        <v>1</v>
      </c>
      <c r="B5" s="1">
        <f>B4-E5</f>
        <v>21292.11118846179</v>
      </c>
      <c r="C5" s="1">
        <f>B4*$B$2</f>
        <v>3750</v>
      </c>
      <c r="D5" s="1">
        <f>-PMT($B$2,5,$B$4)</f>
        <v>7457.888811538211</v>
      </c>
      <c r="E5" s="1">
        <f>D5-C5</f>
        <v>3707.8888115382106</v>
      </c>
    </row>
    <row r="6" spans="1:5" ht="12.75">
      <c r="A6">
        <v>2</v>
      </c>
      <c r="B6" s="1">
        <f>B5-E6</f>
        <v>17028.039055192847</v>
      </c>
      <c r="C6" s="1">
        <f>B5*$B$2</f>
        <v>3193.8166782692683</v>
      </c>
      <c r="D6" s="1">
        <f>-PMT($B$2,5,$B$4)</f>
        <v>7457.888811538211</v>
      </c>
      <c r="E6" s="1">
        <f>D6-C6</f>
        <v>4264.072133268943</v>
      </c>
    </row>
    <row r="7" spans="1:5" ht="12.75">
      <c r="A7">
        <v>3</v>
      </c>
      <c r="B7" s="1">
        <f>B6-E7</f>
        <v>12124.356101933563</v>
      </c>
      <c r="C7" s="1">
        <f>B6*$B$2</f>
        <v>2554.205858278927</v>
      </c>
      <c r="D7" s="1">
        <f>-PMT($B$2,5,$B$4)</f>
        <v>7457.888811538211</v>
      </c>
      <c r="E7" s="1">
        <f>D7-C7</f>
        <v>4903.682953259284</v>
      </c>
    </row>
    <row r="8" spans="1:5" ht="12.75">
      <c r="A8">
        <v>4</v>
      </c>
      <c r="B8" s="1">
        <f>B7-E8</f>
        <v>6485.120705685387</v>
      </c>
      <c r="C8" s="1">
        <f>B7*$B$2</f>
        <v>1818.6534152900344</v>
      </c>
      <c r="D8" s="1">
        <f>-PMT($B$2,5,$B$4)</f>
        <v>7457.888811538211</v>
      </c>
      <c r="E8" s="1">
        <f>D8-C8</f>
        <v>5639.235396248176</v>
      </c>
    </row>
    <row r="9" spans="1:5" ht="12.75">
      <c r="A9">
        <v>5</v>
      </c>
      <c r="B9" s="1">
        <f>B8-E9</f>
        <v>-1.546140993013978E-11</v>
      </c>
      <c r="C9" s="1">
        <f>B8*$B$2</f>
        <v>972.768105852808</v>
      </c>
      <c r="D9" s="1">
        <f>-PMT($B$2,5,$B$4)</f>
        <v>7457.888811538211</v>
      </c>
      <c r="E9" s="1">
        <f>D9-C9</f>
        <v>6485.120705685403</v>
      </c>
    </row>
    <row r="12" spans="2:3" ht="12.75">
      <c r="B12" t="s">
        <v>415</v>
      </c>
      <c r="C12" s="4" t="s">
        <v>416</v>
      </c>
    </row>
    <row r="17" spans="1:5" ht="12.75">
      <c r="A17" s="2" t="s">
        <v>104</v>
      </c>
      <c r="B17" s="38">
        <v>0.12</v>
      </c>
      <c r="C17" s="4" t="s">
        <v>34</v>
      </c>
      <c r="D17" s="39">
        <f>(1+B17)^(1/12)-1</f>
        <v>0.009488792934583046</v>
      </c>
      <c r="E17" t="s">
        <v>105</v>
      </c>
    </row>
    <row r="18" spans="2:5" ht="12.75">
      <c r="B18" t="s">
        <v>5</v>
      </c>
      <c r="C18" s="4" t="s">
        <v>106</v>
      </c>
      <c r="D18" s="4" t="s">
        <v>62</v>
      </c>
      <c r="E18" t="s">
        <v>63</v>
      </c>
    </row>
    <row r="19" spans="1:5" ht="12.75">
      <c r="A19">
        <v>0</v>
      </c>
      <c r="B19" s="14">
        <v>10000</v>
      </c>
      <c r="C19" s="1">
        <v>0</v>
      </c>
      <c r="D19" s="1">
        <v>0</v>
      </c>
      <c r="E19" s="1">
        <v>0</v>
      </c>
    </row>
    <row r="20" spans="1:6" ht="12.75">
      <c r="A20">
        <v>1</v>
      </c>
      <c r="B20" s="1">
        <f>B19-E20</f>
        <v>9209.267255451423</v>
      </c>
      <c r="C20" s="34">
        <f>B19*$D$17</f>
        <v>94.88792934583046</v>
      </c>
      <c r="D20" s="34">
        <f>-PMT($D$17,12,$B$19)</f>
        <v>885.6206738944081</v>
      </c>
      <c r="E20" s="34">
        <f>D20-C20</f>
        <v>790.7327445485777</v>
      </c>
      <c r="F20" t="s">
        <v>285</v>
      </c>
    </row>
    <row r="21" spans="1:6" ht="12.75">
      <c r="A21">
        <f>A20+1</f>
        <v>2</v>
      </c>
      <c r="B21" s="1">
        <f aca="true" t="shared" si="0" ref="B21:B31">B20-E21</f>
        <v>8411.03141162323</v>
      </c>
      <c r="C21" s="34">
        <f aca="true" t="shared" si="1" ref="C21:C31">B20*$D$17</f>
        <v>87.38483006621446</v>
      </c>
      <c r="D21" s="34">
        <f aca="true" t="shared" si="2" ref="D21:D31">-PMT($D$17,12,$B$19)</f>
        <v>885.6206738944081</v>
      </c>
      <c r="E21" s="34">
        <f aca="true" t="shared" si="3" ref="E21:E31">D21-C21</f>
        <v>798.2358438281937</v>
      </c>
      <c r="F21" t="s">
        <v>248</v>
      </c>
    </row>
    <row r="22" spans="1:6" ht="12.75">
      <c r="A22">
        <f aca="true" t="shared" si="4" ref="A22:A31">A21+1</f>
        <v>3</v>
      </c>
      <c r="B22" s="1">
        <f t="shared" si="0"/>
        <v>7605.2212731599875</v>
      </c>
      <c r="C22" s="34">
        <f t="shared" si="1"/>
        <v>79.81053543116656</v>
      </c>
      <c r="D22" s="34">
        <f t="shared" si="2"/>
        <v>885.6206738944081</v>
      </c>
      <c r="E22" s="34">
        <f t="shared" si="3"/>
        <v>805.8101384632416</v>
      </c>
      <c r="F22" t="s">
        <v>250</v>
      </c>
    </row>
    <row r="23" spans="1:6" ht="12.75">
      <c r="A23">
        <f t="shared" si="4"/>
        <v>4</v>
      </c>
      <c r="B23" s="1">
        <f t="shared" si="0"/>
        <v>6791.76496914828</v>
      </c>
      <c r="C23" s="34">
        <f t="shared" si="1"/>
        <v>72.16436988270117</v>
      </c>
      <c r="D23" s="34">
        <f t="shared" si="2"/>
        <v>885.6206738944081</v>
      </c>
      <c r="E23" s="34">
        <f t="shared" si="3"/>
        <v>813.456304011707</v>
      </c>
      <c r="F23" t="s">
        <v>251</v>
      </c>
    </row>
    <row r="24" spans="1:6" ht="12.75">
      <c r="A24">
        <f t="shared" si="4"/>
        <v>5</v>
      </c>
      <c r="B24" s="1">
        <f t="shared" si="0"/>
        <v>5970.589946706475</v>
      </c>
      <c r="C24" s="34">
        <f t="shared" si="1"/>
        <v>64.44565145260285</v>
      </c>
      <c r="D24" s="34">
        <f t="shared" si="2"/>
        <v>885.6206738944081</v>
      </c>
      <c r="E24" s="34">
        <f t="shared" si="3"/>
        <v>821.1750224418053</v>
      </c>
      <c r="F24" t="s">
        <v>252</v>
      </c>
    </row>
    <row r="25" spans="1:6" ht="12.75">
      <c r="A25">
        <f t="shared" si="4"/>
        <v>6</v>
      </c>
      <c r="B25" s="1">
        <f t="shared" si="0"/>
        <v>5141.622964513667</v>
      </c>
      <c r="C25" s="34">
        <f t="shared" si="1"/>
        <v>56.65369170160096</v>
      </c>
      <c r="D25" s="34">
        <f t="shared" si="2"/>
        <v>885.6206738944081</v>
      </c>
      <c r="E25" s="34">
        <f t="shared" si="3"/>
        <v>828.9669821928071</v>
      </c>
      <c r="F25" t="s">
        <v>304</v>
      </c>
    </row>
    <row r="26" spans="1:6" ht="12.75">
      <c r="A26">
        <f t="shared" si="4"/>
        <v>7</v>
      </c>
      <c r="B26" s="1">
        <f t="shared" si="0"/>
        <v>4304.790086277227</v>
      </c>
      <c r="C26" s="34">
        <f t="shared" si="1"/>
        <v>48.78779565796722</v>
      </c>
      <c r="D26" s="34">
        <f t="shared" si="2"/>
        <v>885.6206738944081</v>
      </c>
      <c r="E26" s="34">
        <f t="shared" si="3"/>
        <v>836.8328782364409</v>
      </c>
      <c r="F26" t="s">
        <v>305</v>
      </c>
    </row>
    <row r="27" spans="1:6" ht="12.75">
      <c r="A27">
        <f t="shared" si="4"/>
        <v>8</v>
      </c>
      <c r="B27" s="1">
        <f t="shared" si="0"/>
        <v>3460.016674138349</v>
      </c>
      <c r="C27" s="34">
        <f t="shared" si="1"/>
        <v>40.84726175553049</v>
      </c>
      <c r="D27" s="34">
        <f t="shared" si="2"/>
        <v>885.6206738944081</v>
      </c>
      <c r="E27" s="34">
        <f t="shared" si="3"/>
        <v>844.7734121388777</v>
      </c>
      <c r="F27" t="s">
        <v>306</v>
      </c>
    </row>
    <row r="28" spans="1:6" ht="12.75">
      <c r="A28">
        <f t="shared" si="4"/>
        <v>9</v>
      </c>
      <c r="B28" s="1">
        <f t="shared" si="0"/>
        <v>2607.2273820150444</v>
      </c>
      <c r="C28" s="34">
        <f t="shared" si="1"/>
        <v>32.831381771103494</v>
      </c>
      <c r="D28" s="34">
        <f t="shared" si="2"/>
        <v>885.6206738944081</v>
      </c>
      <c r="E28" s="34">
        <f t="shared" si="3"/>
        <v>852.7892921233047</v>
      </c>
      <c r="F28" t="s">
        <v>307</v>
      </c>
    </row>
    <row r="29" spans="1:6" ht="12.75">
      <c r="A29">
        <f t="shared" si="4"/>
        <v>10</v>
      </c>
      <c r="B29" s="1">
        <f t="shared" si="0"/>
        <v>1746.346148881952</v>
      </c>
      <c r="C29" s="34">
        <f t="shared" si="1"/>
        <v>24.739440761315805</v>
      </c>
      <c r="D29" s="34">
        <f t="shared" si="2"/>
        <v>885.6206738944081</v>
      </c>
      <c r="E29" s="34">
        <f t="shared" si="3"/>
        <v>860.8812331330923</v>
      </c>
      <c r="F29" t="s">
        <v>308</v>
      </c>
    </row>
    <row r="30" spans="1:6" ht="12.75">
      <c r="A30">
        <f t="shared" si="4"/>
        <v>11</v>
      </c>
      <c r="B30" s="1">
        <f t="shared" si="0"/>
        <v>877.2961919863914</v>
      </c>
      <c r="C30" s="34">
        <f t="shared" si="1"/>
        <v>16.570716998847377</v>
      </c>
      <c r="D30" s="34">
        <f t="shared" si="2"/>
        <v>885.6206738944081</v>
      </c>
      <c r="E30" s="34">
        <f t="shared" si="3"/>
        <v>869.0499568955607</v>
      </c>
      <c r="F30" t="s">
        <v>309</v>
      </c>
    </row>
    <row r="31" spans="1:6" ht="12.75">
      <c r="A31">
        <f t="shared" si="4"/>
        <v>12</v>
      </c>
      <c r="B31" s="1">
        <f t="shared" si="0"/>
        <v>4.035882739117369E-11</v>
      </c>
      <c r="C31" s="34">
        <f t="shared" si="1"/>
        <v>8.324481908057082</v>
      </c>
      <c r="D31" s="34">
        <f t="shared" si="2"/>
        <v>885.6206738944081</v>
      </c>
      <c r="E31" s="34">
        <f t="shared" si="3"/>
        <v>877.296191986351</v>
      </c>
      <c r="F31" t="s">
        <v>310</v>
      </c>
    </row>
    <row r="33" spans="1:5" ht="12.75">
      <c r="A33" s="2" t="s">
        <v>229</v>
      </c>
      <c r="B33" s="69" t="s">
        <v>151</v>
      </c>
      <c r="C33" s="69" t="s">
        <v>237</v>
      </c>
      <c r="D33" s="69" t="s">
        <v>45</v>
      </c>
      <c r="E33" s="69" t="s">
        <v>256</v>
      </c>
    </row>
    <row r="34" spans="1:5" ht="12.75">
      <c r="A34" s="4" t="s">
        <v>236</v>
      </c>
      <c r="B34" s="38">
        <v>0.05</v>
      </c>
      <c r="C34" s="38">
        <v>0.05</v>
      </c>
      <c r="D34" s="38">
        <v>0.05</v>
      </c>
      <c r="E34" s="38">
        <v>0.05</v>
      </c>
    </row>
    <row r="35" spans="1:5" ht="12.75">
      <c r="A35" t="s">
        <v>105</v>
      </c>
      <c r="B35" s="39">
        <f>B34/12</f>
        <v>0.004166666666666667</v>
      </c>
      <c r="C35" s="39">
        <f>C34/12</f>
        <v>0.004166666666666667</v>
      </c>
      <c r="D35" s="39">
        <f>D34/12</f>
        <v>0.004166666666666667</v>
      </c>
      <c r="E35" s="39">
        <f>E34/12</f>
        <v>0.004166666666666667</v>
      </c>
    </row>
    <row r="36" spans="1:5" ht="12.75">
      <c r="A36" t="s">
        <v>132</v>
      </c>
      <c r="B36" s="39">
        <f>(1+B35)^12-1</f>
        <v>0.05116189788173342</v>
      </c>
      <c r="C36" s="39">
        <f>(1+C35)^12-1</f>
        <v>0.05116189788173342</v>
      </c>
      <c r="D36" s="39">
        <f>(1+D35)^12-1</f>
        <v>0.05116189788173342</v>
      </c>
      <c r="E36" s="39">
        <f>(1+E35)^12-1</f>
        <v>0.05116189788173342</v>
      </c>
    </row>
    <row r="38" spans="1:5" ht="12.75">
      <c r="A38" t="s">
        <v>5</v>
      </c>
      <c r="B38" s="44">
        <v>45000</v>
      </c>
      <c r="C38" s="44">
        <v>40000</v>
      </c>
      <c r="D38" s="44">
        <v>10000</v>
      </c>
      <c r="E38" s="44">
        <v>5000</v>
      </c>
    </row>
    <row r="39" spans="1:5" ht="12.75">
      <c r="A39" t="s">
        <v>96</v>
      </c>
      <c r="B39" s="45">
        <f>B38*B35</f>
        <v>187.5</v>
      </c>
      <c r="C39" s="45">
        <f>C38*C35</f>
        <v>166.66666666666666</v>
      </c>
      <c r="D39" s="45">
        <f>D38*D35</f>
        <v>41.666666666666664</v>
      </c>
      <c r="E39" s="45">
        <f>E38*E35</f>
        <v>20.833333333333332</v>
      </c>
    </row>
    <row r="42" spans="1:5" ht="12.75">
      <c r="A42" s="2" t="s">
        <v>345</v>
      </c>
      <c r="B42" s="69" t="s">
        <v>324</v>
      </c>
      <c r="C42" s="69" t="s">
        <v>325</v>
      </c>
      <c r="D42" s="69"/>
      <c r="E42" s="69"/>
    </row>
    <row r="43" spans="1:5" ht="12.75">
      <c r="A43" s="4" t="s">
        <v>236</v>
      </c>
      <c r="B43" s="38">
        <v>0.16</v>
      </c>
      <c r="C43" s="38">
        <v>0.16</v>
      </c>
      <c r="D43" s="38"/>
      <c r="E43" s="38"/>
    </row>
    <row r="44" spans="1:5" ht="12.75">
      <c r="A44" t="s">
        <v>105</v>
      </c>
      <c r="B44" s="39">
        <f>B43/12</f>
        <v>0.013333333333333334</v>
      </c>
      <c r="C44" s="39">
        <f>C43/12</f>
        <v>0.013333333333333334</v>
      </c>
      <c r="D44" s="39"/>
      <c r="E44" s="39"/>
    </row>
    <row r="45" spans="1:5" ht="12.75">
      <c r="A45" t="s">
        <v>132</v>
      </c>
      <c r="B45" s="39">
        <f>(1+B44)^12-1</f>
        <v>0.17227079825887714</v>
      </c>
      <c r="C45" s="39">
        <f>(1+C44)^12-1</f>
        <v>0.17227079825887714</v>
      </c>
      <c r="D45" s="39"/>
      <c r="E45" s="39"/>
    </row>
    <row r="47" spans="1:5" ht="12.75">
      <c r="A47" t="s">
        <v>5</v>
      </c>
      <c r="B47" s="44">
        <v>3000</v>
      </c>
      <c r="C47" s="44"/>
      <c r="D47" s="44"/>
      <c r="E47" s="44"/>
    </row>
    <row r="48" spans="1:5" ht="12.75">
      <c r="A48" t="s">
        <v>96</v>
      </c>
      <c r="B48" s="45">
        <f>B47*B44</f>
        <v>40</v>
      </c>
      <c r="C48" s="45">
        <f>C47*C44</f>
        <v>0</v>
      </c>
      <c r="D48" s="45"/>
      <c r="E48" s="45"/>
    </row>
  </sheetData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00390625" style="0" bestFit="1" customWidth="1"/>
    <col min="2" max="2" width="28.7109375" style="0" bestFit="1" customWidth="1"/>
    <col min="3" max="3" width="12.28125" style="9" bestFit="1" customWidth="1"/>
    <col min="5" max="5" width="36.28125" style="0" bestFit="1" customWidth="1"/>
    <col min="6" max="6" width="3.28125" style="0" bestFit="1" customWidth="1"/>
  </cols>
  <sheetData>
    <row r="1" spans="1:2" ht="12.75">
      <c r="A1" s="8">
        <v>37165</v>
      </c>
      <c r="B1" s="2"/>
    </row>
    <row r="2" spans="1:5" ht="12.75">
      <c r="A2" s="23" t="s">
        <v>82</v>
      </c>
      <c r="B2" s="19" t="s">
        <v>81</v>
      </c>
      <c r="C2" s="20">
        <v>100000</v>
      </c>
      <c r="D2" s="11" t="s">
        <v>74</v>
      </c>
      <c r="E2" s="19" t="s">
        <v>55</v>
      </c>
    </row>
    <row r="3" spans="1:5" ht="12.75">
      <c r="A3" s="18" t="s">
        <v>83</v>
      </c>
      <c r="B3" s="21" t="s">
        <v>84</v>
      </c>
      <c r="C3" s="22">
        <v>99000</v>
      </c>
      <c r="D3" s="21" t="s">
        <v>74</v>
      </c>
      <c r="E3" s="21" t="s">
        <v>55</v>
      </c>
    </row>
    <row r="4" spans="1:5" ht="12.75">
      <c r="A4" s="13" t="s">
        <v>85</v>
      </c>
      <c r="B4" s="11" t="s">
        <v>86</v>
      </c>
      <c r="C4" s="12">
        <v>400</v>
      </c>
      <c r="D4" s="11" t="s">
        <v>74</v>
      </c>
      <c r="E4" s="11" t="s">
        <v>55</v>
      </c>
    </row>
    <row r="5" spans="1:5" ht="12.75">
      <c r="A5" s="27" t="s">
        <v>36</v>
      </c>
      <c r="B5" s="16" t="s">
        <v>87</v>
      </c>
      <c r="C5" s="26">
        <v>400</v>
      </c>
      <c r="D5" s="16" t="s">
        <v>74</v>
      </c>
      <c r="E5" s="16" t="s">
        <v>55</v>
      </c>
    </row>
    <row r="6" spans="1:5" ht="12.75">
      <c r="A6" s="27" t="s">
        <v>36</v>
      </c>
      <c r="B6" s="16" t="s">
        <v>9</v>
      </c>
      <c r="C6" s="26">
        <v>200</v>
      </c>
      <c r="D6" s="16" t="s">
        <v>27</v>
      </c>
      <c r="E6" s="16" t="s">
        <v>35</v>
      </c>
    </row>
    <row r="7" spans="1:5" ht="12.75">
      <c r="A7" s="24" t="s">
        <v>39</v>
      </c>
      <c r="B7" s="25" t="s">
        <v>9</v>
      </c>
      <c r="C7" s="26">
        <v>200</v>
      </c>
      <c r="D7" s="25" t="s">
        <v>27</v>
      </c>
      <c r="E7" s="25" t="s">
        <v>29</v>
      </c>
    </row>
    <row r="8" spans="1:5" ht="12.75">
      <c r="A8" s="10" t="s">
        <v>108</v>
      </c>
      <c r="B8" s="11" t="s">
        <v>88</v>
      </c>
      <c r="C8" s="12">
        <v>800</v>
      </c>
      <c r="D8" s="11" t="s">
        <v>74</v>
      </c>
      <c r="E8" s="11" t="s">
        <v>55</v>
      </c>
    </row>
    <row r="9" spans="1:5" ht="12.75">
      <c r="A9" s="24" t="s">
        <v>109</v>
      </c>
      <c r="B9" s="25" t="s">
        <v>88</v>
      </c>
      <c r="C9" s="26">
        <v>1200</v>
      </c>
      <c r="D9" s="25" t="s">
        <v>74</v>
      </c>
      <c r="E9" s="16" t="s">
        <v>55</v>
      </c>
    </row>
    <row r="10" spans="1:5" ht="12.75">
      <c r="A10" s="24" t="s">
        <v>37</v>
      </c>
      <c r="B10" s="25" t="s">
        <v>28</v>
      </c>
      <c r="C10" s="26">
        <v>200</v>
      </c>
      <c r="D10" s="25" t="s">
        <v>27</v>
      </c>
      <c r="E10" s="24" t="s">
        <v>89</v>
      </c>
    </row>
    <row r="11" spans="1:5" ht="12.75">
      <c r="A11" s="4" t="s">
        <v>38</v>
      </c>
      <c r="B11" s="4" t="s">
        <v>90</v>
      </c>
      <c r="C11" s="9">
        <f>2000/5/12</f>
        <v>33.333333333333336</v>
      </c>
      <c r="D11" t="s">
        <v>27</v>
      </c>
      <c r="E11" s="4" t="s">
        <v>77</v>
      </c>
    </row>
    <row r="12" spans="1:6" ht="12.75">
      <c r="A12" s="13" t="s">
        <v>40</v>
      </c>
      <c r="B12" s="10" t="s">
        <v>30</v>
      </c>
      <c r="C12" s="51">
        <v>200</v>
      </c>
      <c r="D12" s="11" t="s">
        <v>27</v>
      </c>
      <c r="E12" s="11" t="s">
        <v>29</v>
      </c>
      <c r="F12" s="138" t="s">
        <v>195</v>
      </c>
    </row>
    <row r="13" spans="1:6" ht="12.75">
      <c r="A13" s="7" t="s">
        <v>41</v>
      </c>
      <c r="B13" s="4" t="s">
        <v>44</v>
      </c>
      <c r="C13" s="9">
        <f>C12/12</f>
        <v>16.666666666666668</v>
      </c>
      <c r="D13" t="s">
        <v>27</v>
      </c>
      <c r="E13" t="s">
        <v>29</v>
      </c>
      <c r="F13" s="138"/>
    </row>
    <row r="14" spans="1:6" ht="12.75">
      <c r="A14" s="7" t="s">
        <v>42</v>
      </c>
      <c r="B14" s="4" t="s">
        <v>43</v>
      </c>
      <c r="C14" s="9">
        <f>C12</f>
        <v>200</v>
      </c>
      <c r="D14" t="s">
        <v>34</v>
      </c>
      <c r="E14" t="s">
        <v>45</v>
      </c>
      <c r="F14" s="138"/>
    </row>
    <row r="15" spans="1:6" ht="12.75">
      <c r="A15" s="7" t="s">
        <v>41</v>
      </c>
      <c r="B15" s="4" t="s">
        <v>50</v>
      </c>
      <c r="C15" s="9">
        <f>C12*0.1215</f>
        <v>24.3</v>
      </c>
      <c r="D15" t="s">
        <v>27</v>
      </c>
      <c r="E15" t="s">
        <v>46</v>
      </c>
      <c r="F15" s="138"/>
    </row>
    <row r="16" spans="1:6" ht="12.75">
      <c r="A16" s="7" t="s">
        <v>42</v>
      </c>
      <c r="B16" s="4" t="s">
        <v>51</v>
      </c>
      <c r="C16" s="9">
        <f>C12*0.1215</f>
        <v>24.3</v>
      </c>
      <c r="D16" t="s">
        <v>27</v>
      </c>
      <c r="E16" t="s">
        <v>47</v>
      </c>
      <c r="F16" s="138"/>
    </row>
    <row r="17" spans="1:6" ht="12.75">
      <c r="A17" s="7" t="s">
        <v>41</v>
      </c>
      <c r="B17" s="4" t="s">
        <v>48</v>
      </c>
      <c r="C17" s="9">
        <f>C12/12</f>
        <v>16.666666666666668</v>
      </c>
      <c r="D17" t="s">
        <v>27</v>
      </c>
      <c r="E17" s="4" t="s">
        <v>183</v>
      </c>
      <c r="F17" s="138"/>
    </row>
    <row r="18" spans="1:6" ht="12.75">
      <c r="A18" s="7" t="s">
        <v>42</v>
      </c>
      <c r="B18" s="4" t="s">
        <v>49</v>
      </c>
      <c r="C18" s="9">
        <f>C12</f>
        <v>200</v>
      </c>
      <c r="D18" t="s">
        <v>34</v>
      </c>
      <c r="E18" s="4" t="s">
        <v>184</v>
      </c>
      <c r="F18" s="138"/>
    </row>
    <row r="19" spans="1:6" ht="12.75">
      <c r="A19" s="7" t="s">
        <v>41</v>
      </c>
      <c r="B19" s="7" t="s">
        <v>94</v>
      </c>
      <c r="C19" s="9">
        <f>8/12</f>
        <v>0.6666666666666666</v>
      </c>
      <c r="D19" t="s">
        <v>27</v>
      </c>
      <c r="E19" t="s">
        <v>29</v>
      </c>
      <c r="F19" s="138"/>
    </row>
    <row r="20" spans="1:6" ht="12.75">
      <c r="A20" s="7" t="s">
        <v>42</v>
      </c>
      <c r="B20" s="7" t="s">
        <v>95</v>
      </c>
      <c r="C20" s="9">
        <v>8</v>
      </c>
      <c r="D20" t="s">
        <v>34</v>
      </c>
      <c r="E20" t="s">
        <v>52</v>
      </c>
      <c r="F20" s="138"/>
    </row>
    <row r="21" spans="1:5" ht="12.75">
      <c r="A21" s="11" t="s">
        <v>53</v>
      </c>
      <c r="B21" s="11" t="s">
        <v>32</v>
      </c>
      <c r="C21" s="12">
        <v>2000</v>
      </c>
      <c r="D21" s="11" t="s">
        <v>74</v>
      </c>
      <c r="E21" s="11" t="s">
        <v>33</v>
      </c>
    </row>
    <row r="22" spans="1:5" ht="12.75">
      <c r="A22" s="11" t="s">
        <v>59</v>
      </c>
      <c r="B22" s="10" t="s">
        <v>60</v>
      </c>
      <c r="C22" s="12">
        <v>25000</v>
      </c>
      <c r="D22" s="13" t="s">
        <v>54</v>
      </c>
      <c r="E22" s="11" t="s">
        <v>55</v>
      </c>
    </row>
    <row r="23" spans="1:5" ht="12.75">
      <c r="A23" s="7" t="s">
        <v>41</v>
      </c>
      <c r="B23" s="4" t="s">
        <v>61</v>
      </c>
      <c r="C23" s="9">
        <f>C24/12</f>
        <v>312.5</v>
      </c>
      <c r="D23" s="7" t="s">
        <v>27</v>
      </c>
      <c r="E23" s="15" t="s">
        <v>130</v>
      </c>
    </row>
    <row r="24" spans="1:5" ht="12.75">
      <c r="A24" s="4" t="s">
        <v>66</v>
      </c>
      <c r="B24" s="4" t="s">
        <v>65</v>
      </c>
      <c r="C24" s="9">
        <v>3750</v>
      </c>
      <c r="D24" s="16" t="s">
        <v>34</v>
      </c>
      <c r="E24" s="42" t="s">
        <v>221</v>
      </c>
    </row>
    <row r="25" spans="1:5" ht="12.75">
      <c r="A25" s="4" t="s">
        <v>68</v>
      </c>
      <c r="B25" s="4" t="s">
        <v>67</v>
      </c>
      <c r="C25" s="9">
        <v>3708</v>
      </c>
      <c r="D25" s="16" t="s">
        <v>34</v>
      </c>
      <c r="E25" s="42" t="s">
        <v>221</v>
      </c>
    </row>
    <row r="26" spans="1:5" ht="12.75">
      <c r="A26" s="13" t="s">
        <v>97</v>
      </c>
      <c r="B26" s="13" t="s">
        <v>98</v>
      </c>
      <c r="C26" s="12">
        <v>0</v>
      </c>
      <c r="D26" s="11" t="s">
        <v>99</v>
      </c>
      <c r="E26" s="11" t="s">
        <v>99</v>
      </c>
    </row>
    <row r="27" spans="1:5" ht="12.75">
      <c r="A27" s="35" t="s">
        <v>71</v>
      </c>
      <c r="B27" s="35" t="s">
        <v>73</v>
      </c>
      <c r="C27" s="36">
        <v>25000</v>
      </c>
      <c r="D27" s="37" t="s">
        <v>74</v>
      </c>
      <c r="E27" s="37" t="s">
        <v>55</v>
      </c>
    </row>
    <row r="28" spans="1:5" ht="12.75">
      <c r="A28" s="11" t="s">
        <v>75</v>
      </c>
      <c r="B28" s="11" t="s">
        <v>76</v>
      </c>
      <c r="C28" s="12">
        <v>15000</v>
      </c>
      <c r="D28" s="11" t="s">
        <v>74</v>
      </c>
      <c r="E28" s="11" t="s">
        <v>55</v>
      </c>
    </row>
    <row r="29" spans="1:5" ht="12.75">
      <c r="A29" s="17" t="s">
        <v>38</v>
      </c>
      <c r="B29" s="17" t="s">
        <v>100</v>
      </c>
      <c r="C29" s="9">
        <f>C28/10/12</f>
        <v>125</v>
      </c>
      <c r="D29" t="s">
        <v>27</v>
      </c>
      <c r="E29" s="4" t="s">
        <v>101</v>
      </c>
    </row>
    <row r="30" spans="1:5" ht="12.75">
      <c r="A30" s="10" t="s">
        <v>108</v>
      </c>
      <c r="B30" s="10" t="s">
        <v>107</v>
      </c>
      <c r="C30" s="12">
        <v>5000</v>
      </c>
      <c r="D30" s="11" t="s">
        <v>74</v>
      </c>
      <c r="E30" s="11" t="s">
        <v>55</v>
      </c>
    </row>
    <row r="31" spans="1:5" ht="12.75">
      <c r="A31" s="24" t="s">
        <v>110</v>
      </c>
      <c r="B31" s="25" t="s">
        <v>107</v>
      </c>
      <c r="C31" s="26">
        <v>10000</v>
      </c>
      <c r="D31" s="25" t="s">
        <v>74</v>
      </c>
      <c r="E31" s="16" t="s">
        <v>55</v>
      </c>
    </row>
    <row r="32" spans="1:5" ht="12.75">
      <c r="A32" s="4" t="s">
        <v>38</v>
      </c>
      <c r="B32" s="4" t="s">
        <v>114</v>
      </c>
      <c r="C32" s="9">
        <f>15000/5/12</f>
        <v>250</v>
      </c>
      <c r="D32" t="s">
        <v>27</v>
      </c>
      <c r="E32" s="4" t="s">
        <v>77</v>
      </c>
    </row>
    <row r="33" spans="1:5" ht="12.75">
      <c r="A33" s="24" t="s">
        <v>111</v>
      </c>
      <c r="B33" s="24" t="s">
        <v>112</v>
      </c>
      <c r="C33" s="26">
        <v>790.73</v>
      </c>
      <c r="D33" s="25" t="s">
        <v>27</v>
      </c>
      <c r="E33" s="27" t="s">
        <v>113</v>
      </c>
    </row>
    <row r="34" spans="1:5" ht="12.75">
      <c r="A34" s="7" t="s">
        <v>41</v>
      </c>
      <c r="B34" s="17" t="s">
        <v>61</v>
      </c>
      <c r="C34" s="9">
        <v>94.89</v>
      </c>
      <c r="D34" s="16" t="s">
        <v>27</v>
      </c>
      <c r="E34" t="s">
        <v>64</v>
      </c>
    </row>
    <row r="35" spans="1:5" ht="12.75">
      <c r="A35" s="4" t="s">
        <v>66</v>
      </c>
      <c r="B35" s="17" t="s">
        <v>65</v>
      </c>
      <c r="C35" s="9">
        <v>94.89</v>
      </c>
      <c r="D35" s="16" t="s">
        <v>27</v>
      </c>
      <c r="E35" t="s">
        <v>113</v>
      </c>
    </row>
    <row r="36" spans="1:5" ht="12.75">
      <c r="A36" s="10" t="s">
        <v>124</v>
      </c>
      <c r="B36" s="10" t="s">
        <v>226</v>
      </c>
      <c r="C36" s="12">
        <v>300</v>
      </c>
      <c r="D36" s="11" t="s">
        <v>74</v>
      </c>
      <c r="E36" s="11" t="s">
        <v>55</v>
      </c>
    </row>
    <row r="37" spans="1:5" ht="12.75">
      <c r="A37" s="4" t="s">
        <v>125</v>
      </c>
      <c r="B37" s="4" t="s">
        <v>227</v>
      </c>
      <c r="C37" s="9">
        <v>300</v>
      </c>
      <c r="D37" s="16" t="s">
        <v>74</v>
      </c>
      <c r="E37" s="16" t="s">
        <v>55</v>
      </c>
    </row>
    <row r="38" spans="1:5" ht="12.75">
      <c r="A38" s="4" t="s">
        <v>228</v>
      </c>
      <c r="B38" s="7" t="s">
        <v>225</v>
      </c>
      <c r="C38" s="9">
        <f>C37/6</f>
        <v>50</v>
      </c>
      <c r="D38" s="16" t="s">
        <v>27</v>
      </c>
      <c r="E38" s="16" t="s">
        <v>89</v>
      </c>
    </row>
    <row r="39" spans="1:5" ht="12.75">
      <c r="A39" s="4" t="s">
        <v>128</v>
      </c>
      <c r="B39" t="s">
        <v>127</v>
      </c>
      <c r="C39" s="9">
        <f>600/12</f>
        <v>50</v>
      </c>
      <c r="D39" s="16" t="s">
        <v>27</v>
      </c>
      <c r="E39" s="42" t="s">
        <v>129</v>
      </c>
    </row>
    <row r="40" spans="1:5" ht="12.75">
      <c r="A40" s="10" t="s">
        <v>141</v>
      </c>
      <c r="B40" s="11" t="s">
        <v>142</v>
      </c>
      <c r="C40" s="12">
        <v>45000</v>
      </c>
      <c r="D40" s="11" t="s">
        <v>74</v>
      </c>
      <c r="E40" s="10" t="s">
        <v>143</v>
      </c>
    </row>
    <row r="41" spans="1:5" ht="12.75">
      <c r="A41" s="17" t="s">
        <v>144</v>
      </c>
      <c r="B41" s="16" t="s">
        <v>106</v>
      </c>
      <c r="C41" s="9">
        <v>187.5</v>
      </c>
      <c r="D41" s="16" t="s">
        <v>74</v>
      </c>
      <c r="E41" s="16" t="s">
        <v>113</v>
      </c>
    </row>
    <row r="42" spans="1:5" ht="12.75">
      <c r="A42" s="10" t="s">
        <v>147</v>
      </c>
      <c r="B42" s="10" t="s">
        <v>149</v>
      </c>
      <c r="C42" s="12">
        <v>300</v>
      </c>
      <c r="D42" s="11" t="s">
        <v>27</v>
      </c>
      <c r="E42" s="11" t="s">
        <v>151</v>
      </c>
    </row>
    <row r="43" spans="1:5" ht="12.75">
      <c r="A43" s="4" t="s">
        <v>150</v>
      </c>
      <c r="B43" s="42" t="s">
        <v>148</v>
      </c>
      <c r="C43" s="9">
        <v>300</v>
      </c>
      <c r="D43" s="16" t="s">
        <v>27</v>
      </c>
      <c r="E43" s="42" t="s">
        <v>152</v>
      </c>
    </row>
    <row r="45" ht="12.75">
      <c r="A45" s="8">
        <v>37196</v>
      </c>
    </row>
    <row r="46" spans="1:6" ht="12.75">
      <c r="A46" s="10" t="s">
        <v>208</v>
      </c>
      <c r="B46" s="10" t="s">
        <v>196</v>
      </c>
      <c r="C46" s="51">
        <f>350+125*4</f>
        <v>850</v>
      </c>
      <c r="D46" s="11" t="s">
        <v>27</v>
      </c>
      <c r="E46" s="11" t="s">
        <v>29</v>
      </c>
      <c r="F46" s="138" t="s">
        <v>195</v>
      </c>
    </row>
    <row r="47" spans="1:6" ht="12.75">
      <c r="A47" s="4" t="s">
        <v>209</v>
      </c>
      <c r="B47" s="4" t="s">
        <v>44</v>
      </c>
      <c r="C47" s="9">
        <f>C46/12</f>
        <v>70.83333333333333</v>
      </c>
      <c r="D47" t="s">
        <v>27</v>
      </c>
      <c r="E47" t="s">
        <v>29</v>
      </c>
      <c r="F47" s="138"/>
    </row>
    <row r="48" spans="1:6" ht="12.75">
      <c r="A48" s="7" t="s">
        <v>42</v>
      </c>
      <c r="B48" s="4" t="s">
        <v>43</v>
      </c>
      <c r="C48" s="9">
        <f>C46</f>
        <v>850</v>
      </c>
      <c r="D48" t="s">
        <v>34</v>
      </c>
      <c r="E48" t="s">
        <v>45</v>
      </c>
      <c r="F48" s="138"/>
    </row>
    <row r="49" spans="1:6" ht="12.75">
      <c r="A49" s="4" t="s">
        <v>209</v>
      </c>
      <c r="B49" s="4" t="s">
        <v>50</v>
      </c>
      <c r="C49" s="9">
        <f>C46*0.1215</f>
        <v>103.27499999999999</v>
      </c>
      <c r="D49" t="s">
        <v>27</v>
      </c>
      <c r="E49" t="s">
        <v>46</v>
      </c>
      <c r="F49" s="138"/>
    </row>
    <row r="50" spans="1:6" ht="12.75">
      <c r="A50" s="7" t="s">
        <v>42</v>
      </c>
      <c r="B50" s="4" t="s">
        <v>51</v>
      </c>
      <c r="C50" s="9">
        <f>C46*0.1215</f>
        <v>103.27499999999999</v>
      </c>
      <c r="D50" t="s">
        <v>27</v>
      </c>
      <c r="E50" t="s">
        <v>47</v>
      </c>
      <c r="F50" s="138"/>
    </row>
    <row r="51" spans="1:6" ht="12.75">
      <c r="A51" s="4" t="s">
        <v>209</v>
      </c>
      <c r="B51" s="4" t="s">
        <v>48</v>
      </c>
      <c r="C51" s="9">
        <f>C46/12</f>
        <v>70.83333333333333</v>
      </c>
      <c r="D51" t="s">
        <v>27</v>
      </c>
      <c r="E51" s="4" t="s">
        <v>183</v>
      </c>
      <c r="F51" s="138"/>
    </row>
    <row r="52" spans="1:6" ht="12.75">
      <c r="A52" s="7" t="s">
        <v>42</v>
      </c>
      <c r="B52" s="4" t="s">
        <v>49</v>
      </c>
      <c r="C52" s="9">
        <f>C46</f>
        <v>850</v>
      </c>
      <c r="D52" t="s">
        <v>34</v>
      </c>
      <c r="E52" s="4" t="s">
        <v>184</v>
      </c>
      <c r="F52" s="138"/>
    </row>
    <row r="53" spans="1:6" ht="12.75">
      <c r="A53" s="4" t="s">
        <v>209</v>
      </c>
      <c r="B53" s="7" t="s">
        <v>94</v>
      </c>
      <c r="C53" s="9">
        <f>C54/12</f>
        <v>3.3333333333333335</v>
      </c>
      <c r="D53" t="s">
        <v>27</v>
      </c>
      <c r="E53" t="s">
        <v>29</v>
      </c>
      <c r="F53" s="138"/>
    </row>
    <row r="54" spans="1:6" ht="12.75">
      <c r="A54" s="7" t="s">
        <v>42</v>
      </c>
      <c r="B54" s="7" t="s">
        <v>95</v>
      </c>
      <c r="C54" s="9">
        <f>8*5</f>
        <v>40</v>
      </c>
      <c r="D54" t="s">
        <v>34</v>
      </c>
      <c r="E54" t="s">
        <v>52</v>
      </c>
      <c r="F54" s="138"/>
    </row>
    <row r="55" spans="1:6" ht="12.75">
      <c r="A55" s="13" t="s">
        <v>40</v>
      </c>
      <c r="B55" s="10" t="s">
        <v>197</v>
      </c>
      <c r="C55" s="51">
        <v>1000</v>
      </c>
      <c r="D55" s="11" t="s">
        <v>27</v>
      </c>
      <c r="E55" s="11" t="s">
        <v>29</v>
      </c>
      <c r="F55" s="138" t="s">
        <v>195</v>
      </c>
    </row>
    <row r="56" spans="1:6" ht="12.75">
      <c r="A56" s="7" t="s">
        <v>41</v>
      </c>
      <c r="B56" s="4" t="s">
        <v>44</v>
      </c>
      <c r="C56" s="9">
        <f>C55/12</f>
        <v>83.33333333333333</v>
      </c>
      <c r="D56" t="s">
        <v>27</v>
      </c>
      <c r="E56" t="s">
        <v>29</v>
      </c>
      <c r="F56" s="138"/>
    </row>
    <row r="57" spans="1:6" ht="12.75">
      <c r="A57" s="7" t="s">
        <v>42</v>
      </c>
      <c r="B57" s="4" t="s">
        <v>43</v>
      </c>
      <c r="C57" s="9">
        <f>C55</f>
        <v>1000</v>
      </c>
      <c r="D57" t="s">
        <v>34</v>
      </c>
      <c r="E57" t="s">
        <v>45</v>
      </c>
      <c r="F57" s="138"/>
    </row>
    <row r="58" spans="1:6" ht="12.75">
      <c r="A58" s="7" t="s">
        <v>41</v>
      </c>
      <c r="B58" s="4" t="s">
        <v>50</v>
      </c>
      <c r="C58" s="9">
        <f>C55*0.1215</f>
        <v>121.5</v>
      </c>
      <c r="D58" t="s">
        <v>27</v>
      </c>
      <c r="E58" t="s">
        <v>46</v>
      </c>
      <c r="F58" s="138"/>
    </row>
    <row r="59" spans="1:6" ht="12.75">
      <c r="A59" s="7" t="s">
        <v>42</v>
      </c>
      <c r="B59" s="4" t="s">
        <v>51</v>
      </c>
      <c r="C59" s="9">
        <f>C55*0.1215</f>
        <v>121.5</v>
      </c>
      <c r="D59" t="s">
        <v>27</v>
      </c>
      <c r="E59" t="s">
        <v>47</v>
      </c>
      <c r="F59" s="138"/>
    </row>
    <row r="60" spans="1:6" ht="12.75">
      <c r="A60" s="7" t="s">
        <v>41</v>
      </c>
      <c r="B60" s="4" t="s">
        <v>48</v>
      </c>
      <c r="C60" s="9">
        <f>C55/12</f>
        <v>83.33333333333333</v>
      </c>
      <c r="D60" t="s">
        <v>27</v>
      </c>
      <c r="E60" s="4" t="s">
        <v>183</v>
      </c>
      <c r="F60" s="138"/>
    </row>
    <row r="61" spans="1:6" ht="12.75">
      <c r="A61" s="7" t="s">
        <v>42</v>
      </c>
      <c r="B61" s="4" t="s">
        <v>49</v>
      </c>
      <c r="C61" s="9">
        <f>C55</f>
        <v>1000</v>
      </c>
      <c r="D61" t="s">
        <v>34</v>
      </c>
      <c r="E61" s="4" t="s">
        <v>184</v>
      </c>
      <c r="F61" s="138"/>
    </row>
    <row r="62" spans="1:6" ht="12.75">
      <c r="A62" s="7" t="s">
        <v>41</v>
      </c>
      <c r="B62" s="7" t="s">
        <v>94</v>
      </c>
      <c r="C62" s="9">
        <f>8/12</f>
        <v>0.6666666666666666</v>
      </c>
      <c r="D62" t="s">
        <v>27</v>
      </c>
      <c r="E62" t="s">
        <v>29</v>
      </c>
      <c r="F62" s="138"/>
    </row>
    <row r="63" spans="1:6" ht="12.75">
      <c r="A63" s="7" t="s">
        <v>42</v>
      </c>
      <c r="B63" s="7" t="s">
        <v>95</v>
      </c>
      <c r="C63" s="9">
        <v>8</v>
      </c>
      <c r="D63" t="s">
        <v>34</v>
      </c>
      <c r="E63" t="s">
        <v>52</v>
      </c>
      <c r="F63" s="138"/>
    </row>
    <row r="64" spans="1:5" ht="12.75">
      <c r="A64" s="10" t="s">
        <v>147</v>
      </c>
      <c r="B64" s="10" t="s">
        <v>203</v>
      </c>
      <c r="C64" s="12">
        <v>50</v>
      </c>
      <c r="D64" s="11" t="s">
        <v>27</v>
      </c>
      <c r="E64" s="11" t="s">
        <v>151</v>
      </c>
    </row>
    <row r="65" spans="1:5" ht="12.75">
      <c r="A65" s="4" t="s">
        <v>150</v>
      </c>
      <c r="B65" s="42" t="s">
        <v>199</v>
      </c>
      <c r="C65" s="9">
        <v>350</v>
      </c>
      <c r="D65" s="16" t="s">
        <v>27</v>
      </c>
      <c r="E65" s="42" t="s">
        <v>202</v>
      </c>
    </row>
    <row r="66" spans="1:5" ht="12.75">
      <c r="A66" s="10" t="s">
        <v>147</v>
      </c>
      <c r="B66" s="10" t="s">
        <v>149</v>
      </c>
      <c r="C66" s="12">
        <v>350</v>
      </c>
      <c r="D66" s="11" t="s">
        <v>27</v>
      </c>
      <c r="E66" s="10" t="s">
        <v>200</v>
      </c>
    </row>
    <row r="67" spans="1:5" ht="12.75">
      <c r="A67" s="4" t="s">
        <v>150</v>
      </c>
      <c r="B67" s="42" t="s">
        <v>148</v>
      </c>
      <c r="C67" s="9">
        <v>350</v>
      </c>
      <c r="D67" s="16" t="s">
        <v>27</v>
      </c>
      <c r="E67" s="42" t="s">
        <v>201</v>
      </c>
    </row>
    <row r="68" spans="1:5" ht="12.75">
      <c r="A68" s="10" t="s">
        <v>208</v>
      </c>
      <c r="B68" s="10" t="s">
        <v>206</v>
      </c>
      <c r="C68" s="12">
        <v>1500</v>
      </c>
      <c r="D68" s="11" t="s">
        <v>74</v>
      </c>
      <c r="E68" s="11" t="s">
        <v>204</v>
      </c>
    </row>
    <row r="69" spans="1:5" ht="12.75">
      <c r="A69" s="4" t="s">
        <v>210</v>
      </c>
      <c r="B69" s="42" t="s">
        <v>207</v>
      </c>
      <c r="C69" s="9">
        <v>700</v>
      </c>
      <c r="D69" s="16" t="s">
        <v>74</v>
      </c>
      <c r="E69" s="17" t="s">
        <v>204</v>
      </c>
    </row>
    <row r="70" spans="1:5" ht="12.75">
      <c r="A70" s="11" t="s">
        <v>211</v>
      </c>
      <c r="B70" s="10" t="s">
        <v>212</v>
      </c>
      <c r="C70" s="12">
        <v>25000</v>
      </c>
      <c r="D70" s="11" t="s">
        <v>74</v>
      </c>
      <c r="E70" s="11" t="s">
        <v>55</v>
      </c>
    </row>
    <row r="71" spans="1:5" ht="12.75">
      <c r="A71" s="4" t="s">
        <v>213</v>
      </c>
      <c r="B71" s="42" t="s">
        <v>222</v>
      </c>
      <c r="C71" s="9">
        <v>25000</v>
      </c>
      <c r="D71" s="16" t="s">
        <v>74</v>
      </c>
      <c r="E71" s="4" t="s">
        <v>214</v>
      </c>
    </row>
    <row r="72" spans="1:5" ht="12.75">
      <c r="A72" s="7" t="s">
        <v>215</v>
      </c>
      <c r="B72" s="4" t="s">
        <v>216</v>
      </c>
      <c r="C72" s="9">
        <f>50000/10/12</f>
        <v>416.6666666666667</v>
      </c>
      <c r="D72" t="s">
        <v>27</v>
      </c>
      <c r="E72" s="4" t="s">
        <v>101</v>
      </c>
    </row>
    <row r="73" ht="12.75">
      <c r="A73" s="63" t="s">
        <v>217</v>
      </c>
    </row>
    <row r="74" spans="1:5" ht="12.75">
      <c r="A74" s="13" t="s">
        <v>36</v>
      </c>
      <c r="B74" s="64" t="s">
        <v>9</v>
      </c>
      <c r="C74" s="12">
        <v>200</v>
      </c>
      <c r="D74" s="64" t="s">
        <v>27</v>
      </c>
      <c r="E74" s="64" t="s">
        <v>35</v>
      </c>
    </row>
    <row r="75" spans="1:5" ht="12.75">
      <c r="A75" s="24" t="s">
        <v>39</v>
      </c>
      <c r="B75" s="25" t="s">
        <v>9</v>
      </c>
      <c r="C75" s="26">
        <v>200</v>
      </c>
      <c r="D75" s="25" t="s">
        <v>27</v>
      </c>
      <c r="E75" s="25" t="s">
        <v>29</v>
      </c>
    </row>
    <row r="76" spans="1:5" ht="12.75">
      <c r="A76" s="10" t="s">
        <v>37</v>
      </c>
      <c r="B76" s="11" t="s">
        <v>28</v>
      </c>
      <c r="C76" s="12">
        <v>200</v>
      </c>
      <c r="D76" s="11" t="s">
        <v>27</v>
      </c>
      <c r="E76" s="10" t="s">
        <v>89</v>
      </c>
    </row>
    <row r="77" spans="1:5" ht="12.75">
      <c r="A77" s="4" t="s">
        <v>38</v>
      </c>
      <c r="B77" s="4" t="s">
        <v>90</v>
      </c>
      <c r="C77" s="9">
        <f>2000/5/12</f>
        <v>33.333333333333336</v>
      </c>
      <c r="D77" t="s">
        <v>27</v>
      </c>
      <c r="E77" s="4" t="s">
        <v>77</v>
      </c>
    </row>
    <row r="78" spans="1:5" ht="12.75">
      <c r="A78" s="10" t="s">
        <v>218</v>
      </c>
      <c r="B78" s="11" t="s">
        <v>32</v>
      </c>
      <c r="C78" s="12">
        <v>2000</v>
      </c>
      <c r="D78" s="11" t="s">
        <v>74</v>
      </c>
      <c r="E78" s="11" t="s">
        <v>33</v>
      </c>
    </row>
    <row r="79" spans="1:5" ht="12.75">
      <c r="A79" s="13" t="s">
        <v>41</v>
      </c>
      <c r="B79" s="10" t="s">
        <v>219</v>
      </c>
      <c r="C79" s="12">
        <f>C80/12</f>
        <v>312.5</v>
      </c>
      <c r="D79" s="13" t="s">
        <v>27</v>
      </c>
      <c r="E79" s="65" t="s">
        <v>130</v>
      </c>
    </row>
    <row r="80" spans="1:5" ht="12.75">
      <c r="A80" s="4" t="s">
        <v>66</v>
      </c>
      <c r="B80" s="4" t="s">
        <v>65</v>
      </c>
      <c r="C80" s="9">
        <v>3750</v>
      </c>
      <c r="D80" s="16" t="s">
        <v>34</v>
      </c>
      <c r="E80" s="42" t="s">
        <v>220</v>
      </c>
    </row>
    <row r="81" spans="1:5" ht="12.75">
      <c r="A81" s="66" t="s">
        <v>38</v>
      </c>
      <c r="B81" s="66" t="s">
        <v>100</v>
      </c>
      <c r="C81" s="54">
        <v>125</v>
      </c>
      <c r="D81" s="53" t="s">
        <v>27</v>
      </c>
      <c r="E81" s="67" t="s">
        <v>101</v>
      </c>
    </row>
    <row r="82" spans="1:5" ht="12.75">
      <c r="A82" s="4" t="s">
        <v>38</v>
      </c>
      <c r="B82" s="4" t="s">
        <v>114</v>
      </c>
      <c r="C82" s="9">
        <f>15000/5/12</f>
        <v>250</v>
      </c>
      <c r="D82" t="s">
        <v>27</v>
      </c>
      <c r="E82" s="4" t="s">
        <v>77</v>
      </c>
    </row>
    <row r="83" spans="1:5" ht="12.75">
      <c r="A83" s="24" t="s">
        <v>111</v>
      </c>
      <c r="B83" s="24" t="s">
        <v>112</v>
      </c>
      <c r="C83" s="26">
        <v>790.73</v>
      </c>
      <c r="D83" s="25" t="s">
        <v>27</v>
      </c>
      <c r="E83" s="27" t="s">
        <v>113</v>
      </c>
    </row>
    <row r="84" spans="1:5" ht="12.75">
      <c r="A84" s="7" t="s">
        <v>41</v>
      </c>
      <c r="B84" s="17" t="s">
        <v>61</v>
      </c>
      <c r="C84" s="9">
        <v>87.38</v>
      </c>
      <c r="D84" s="16" t="s">
        <v>27</v>
      </c>
      <c r="E84" s="4" t="s">
        <v>223</v>
      </c>
    </row>
    <row r="85" spans="1:5" ht="12.75">
      <c r="A85" s="4" t="s">
        <v>66</v>
      </c>
      <c r="B85" s="17" t="s">
        <v>65</v>
      </c>
      <c r="C85" s="9">
        <v>94.89</v>
      </c>
      <c r="D85" s="16" t="s">
        <v>27</v>
      </c>
      <c r="E85" s="4" t="s">
        <v>224</v>
      </c>
    </row>
    <row r="86" spans="1:5" ht="12.75">
      <c r="A86" s="10" t="s">
        <v>228</v>
      </c>
      <c r="B86" s="13" t="s">
        <v>225</v>
      </c>
      <c r="C86" s="12">
        <v>50</v>
      </c>
      <c r="D86" s="64" t="s">
        <v>27</v>
      </c>
      <c r="E86" s="64" t="s">
        <v>89</v>
      </c>
    </row>
    <row r="87" spans="1:5" ht="12.75">
      <c r="A87" s="4" t="s">
        <v>128</v>
      </c>
      <c r="B87" t="s">
        <v>127</v>
      </c>
      <c r="C87" s="9">
        <f>600/12</f>
        <v>50</v>
      </c>
      <c r="D87" s="16" t="s">
        <v>27</v>
      </c>
      <c r="E87" s="42" t="s">
        <v>129</v>
      </c>
    </row>
    <row r="88" spans="1:5" ht="12.75">
      <c r="A88" s="10" t="s">
        <v>141</v>
      </c>
      <c r="B88" s="10" t="s">
        <v>230</v>
      </c>
      <c r="C88" s="12">
        <v>45000</v>
      </c>
      <c r="D88" s="11" t="s">
        <v>74</v>
      </c>
      <c r="E88" s="10"/>
    </row>
    <row r="89" spans="1:5" ht="12.75">
      <c r="A89" s="17" t="s">
        <v>144</v>
      </c>
      <c r="B89" s="16" t="s">
        <v>106</v>
      </c>
      <c r="C89" s="9">
        <v>187.5</v>
      </c>
      <c r="D89" s="16" t="s">
        <v>74</v>
      </c>
      <c r="E89" s="16" t="s">
        <v>113</v>
      </c>
    </row>
    <row r="90" spans="1:5" ht="12.75">
      <c r="A90" s="11" t="s">
        <v>231</v>
      </c>
      <c r="B90" s="11" t="s">
        <v>232</v>
      </c>
      <c r="C90" s="12">
        <v>700</v>
      </c>
      <c r="D90" s="11" t="s">
        <v>27</v>
      </c>
      <c r="E90" s="10" t="s">
        <v>233</v>
      </c>
    </row>
    <row r="91" spans="1:5" ht="12.75">
      <c r="A91" s="11" t="s">
        <v>97</v>
      </c>
      <c r="B91" s="11" t="s">
        <v>234</v>
      </c>
      <c r="C91" s="12">
        <v>0</v>
      </c>
      <c r="D91" s="10" t="s">
        <v>235</v>
      </c>
      <c r="E91" s="11" t="s">
        <v>99</v>
      </c>
    </row>
    <row r="92" spans="1:5" ht="12.75">
      <c r="A92" s="10" t="s">
        <v>141</v>
      </c>
      <c r="B92" s="11" t="s">
        <v>142</v>
      </c>
      <c r="C92" s="12">
        <v>40000</v>
      </c>
      <c r="D92" s="11" t="s">
        <v>74</v>
      </c>
      <c r="E92" s="10" t="s">
        <v>238</v>
      </c>
    </row>
    <row r="93" spans="1:5" ht="12.75">
      <c r="A93" s="17" t="s">
        <v>144</v>
      </c>
      <c r="B93" s="16" t="s">
        <v>106</v>
      </c>
      <c r="C93" s="9">
        <v>166.67</v>
      </c>
      <c r="D93" s="16" t="s">
        <v>74</v>
      </c>
      <c r="E93" s="42" t="s">
        <v>239</v>
      </c>
    </row>
    <row r="94" spans="1:5" ht="12.75">
      <c r="A94" s="10" t="s">
        <v>314</v>
      </c>
      <c r="B94" s="10" t="s">
        <v>240</v>
      </c>
      <c r="C94" s="12">
        <f>3227.44/5/12</f>
        <v>53.790666666666674</v>
      </c>
      <c r="D94" s="11" t="s">
        <v>27</v>
      </c>
      <c r="E94" s="11" t="s">
        <v>241</v>
      </c>
    </row>
    <row r="97" ht="12.75">
      <c r="A97" s="8">
        <v>37226</v>
      </c>
    </row>
    <row r="98" spans="1:5" ht="12.75">
      <c r="A98" s="10" t="s">
        <v>243</v>
      </c>
      <c r="B98" s="11" t="s">
        <v>242</v>
      </c>
      <c r="C98" s="12">
        <v>0</v>
      </c>
      <c r="D98" s="11" t="s">
        <v>235</v>
      </c>
      <c r="E98" s="11" t="s">
        <v>235</v>
      </c>
    </row>
    <row r="99" spans="1:5" ht="12.75">
      <c r="A99" s="11" t="s">
        <v>245</v>
      </c>
      <c r="B99" s="11" t="s">
        <v>244</v>
      </c>
      <c r="C99" s="12">
        <f>16*75</f>
        <v>1200</v>
      </c>
      <c r="D99" s="11" t="s">
        <v>253</v>
      </c>
      <c r="E99" s="11" t="s">
        <v>254</v>
      </c>
    </row>
    <row r="100" spans="1:5" ht="12.75">
      <c r="A100" t="s">
        <v>255</v>
      </c>
      <c r="B100" s="4" t="s">
        <v>257</v>
      </c>
      <c r="C100" s="9">
        <v>1200</v>
      </c>
      <c r="D100" t="s">
        <v>27</v>
      </c>
      <c r="E100" t="s">
        <v>324</v>
      </c>
    </row>
    <row r="101" spans="1:5" ht="12.75">
      <c r="A101" s="11" t="s">
        <v>245</v>
      </c>
      <c r="B101" s="10" t="s">
        <v>259</v>
      </c>
      <c r="C101" s="12">
        <v>2000</v>
      </c>
      <c r="D101" s="11" t="s">
        <v>253</v>
      </c>
      <c r="E101" s="11" t="s">
        <v>254</v>
      </c>
    </row>
    <row r="102" spans="1:5" ht="12.75">
      <c r="A102" t="s">
        <v>255</v>
      </c>
      <c r="B102" s="4" t="s">
        <v>260</v>
      </c>
      <c r="C102" s="9">
        <v>2000</v>
      </c>
      <c r="D102" t="s">
        <v>27</v>
      </c>
      <c r="E102" t="s">
        <v>324</v>
      </c>
    </row>
    <row r="103" spans="1:5" ht="12.75">
      <c r="A103" s="11" t="s">
        <v>261</v>
      </c>
      <c r="B103" s="11" t="s">
        <v>263</v>
      </c>
      <c r="C103" s="12">
        <f>800*1.5</f>
        <v>1200</v>
      </c>
      <c r="D103" s="11" t="s">
        <v>253</v>
      </c>
      <c r="E103" s="11" t="s">
        <v>55</v>
      </c>
    </row>
    <row r="104" spans="1:5" ht="12.75">
      <c r="A104" s="42" t="s">
        <v>262</v>
      </c>
      <c r="B104" s="4" t="s">
        <v>264</v>
      </c>
      <c r="C104" s="9">
        <f>1500*1.5</f>
        <v>2250</v>
      </c>
      <c r="D104" s="16" t="s">
        <v>253</v>
      </c>
      <c r="E104" s="16" t="s">
        <v>55</v>
      </c>
    </row>
    <row r="105" spans="1:5" ht="12.75">
      <c r="A105" s="80" t="s">
        <v>274</v>
      </c>
      <c r="B105" s="13" t="s">
        <v>265</v>
      </c>
      <c r="C105" s="12">
        <v>900</v>
      </c>
      <c r="D105" s="11" t="s">
        <v>27</v>
      </c>
      <c r="E105" s="11" t="s">
        <v>275</v>
      </c>
    </row>
    <row r="106" spans="1:5" ht="12.75">
      <c r="A106" s="16" t="s">
        <v>276</v>
      </c>
      <c r="B106" s="7" t="s">
        <v>277</v>
      </c>
      <c r="C106" s="9">
        <v>1200</v>
      </c>
      <c r="D106" s="16" t="s">
        <v>27</v>
      </c>
      <c r="E106" s="16" t="s">
        <v>275</v>
      </c>
    </row>
    <row r="107" spans="1:5" ht="12.75">
      <c r="A107" s="80" t="s">
        <v>280</v>
      </c>
      <c r="B107" s="10" t="s">
        <v>281</v>
      </c>
      <c r="C107" s="12">
        <f>24*16</f>
        <v>384</v>
      </c>
      <c r="D107" s="11" t="s">
        <v>27</v>
      </c>
      <c r="E107" s="11" t="s">
        <v>283</v>
      </c>
    </row>
    <row r="108" spans="1:5" ht="12.75">
      <c r="A108" t="s">
        <v>280</v>
      </c>
      <c r="B108" s="4" t="s">
        <v>282</v>
      </c>
      <c r="C108" s="9">
        <f>41*16</f>
        <v>656</v>
      </c>
      <c r="D108" s="16" t="s">
        <v>27</v>
      </c>
      <c r="E108" s="16" t="s">
        <v>283</v>
      </c>
    </row>
    <row r="109" spans="1:5" ht="12.75">
      <c r="A109" s="10" t="s">
        <v>147</v>
      </c>
      <c r="B109" s="10" t="s">
        <v>286</v>
      </c>
      <c r="C109" s="12">
        <v>-30</v>
      </c>
      <c r="D109" s="11" t="s">
        <v>27</v>
      </c>
      <c r="E109" s="13" t="s">
        <v>285</v>
      </c>
    </row>
    <row r="110" spans="1:5" ht="12.75">
      <c r="A110" s="4" t="s">
        <v>150</v>
      </c>
      <c r="B110" s="42" t="s">
        <v>287</v>
      </c>
      <c r="C110" s="9">
        <v>320</v>
      </c>
      <c r="D110" s="16" t="s">
        <v>27</v>
      </c>
      <c r="E110" s="42" t="s">
        <v>290</v>
      </c>
    </row>
    <row r="111" spans="1:5" ht="12.75">
      <c r="A111" s="10" t="s">
        <v>147</v>
      </c>
      <c r="B111" s="10" t="s">
        <v>149</v>
      </c>
      <c r="C111" s="12">
        <v>320</v>
      </c>
      <c r="D111" s="11" t="s">
        <v>27</v>
      </c>
      <c r="E111" s="10" t="s">
        <v>288</v>
      </c>
    </row>
    <row r="112" spans="1:5" ht="12.75">
      <c r="A112" s="4" t="s">
        <v>150</v>
      </c>
      <c r="B112" s="42" t="s">
        <v>148</v>
      </c>
      <c r="C112" s="9">
        <v>320</v>
      </c>
      <c r="D112" s="16" t="s">
        <v>27</v>
      </c>
      <c r="E112" s="42" t="s">
        <v>289</v>
      </c>
    </row>
    <row r="113" ht="12.75">
      <c r="A113" s="63" t="s">
        <v>217</v>
      </c>
    </row>
    <row r="114" spans="1:5" ht="12.75">
      <c r="A114" s="10" t="s">
        <v>141</v>
      </c>
      <c r="B114" s="10" t="s">
        <v>230</v>
      </c>
      <c r="C114" s="12">
        <v>40000</v>
      </c>
      <c r="D114" s="11" t="s">
        <v>27</v>
      </c>
      <c r="E114" s="13" t="s">
        <v>248</v>
      </c>
    </row>
    <row r="115" spans="1:5" ht="12.75">
      <c r="A115" s="17" t="s">
        <v>144</v>
      </c>
      <c r="B115" s="16" t="s">
        <v>106</v>
      </c>
      <c r="C115" s="9">
        <v>166.67</v>
      </c>
      <c r="D115" s="16" t="s">
        <v>27</v>
      </c>
      <c r="E115" s="42" t="s">
        <v>239</v>
      </c>
    </row>
    <row r="116" spans="1:6" ht="12.75">
      <c r="A116" s="13" t="s">
        <v>294</v>
      </c>
      <c r="B116" s="13" t="s">
        <v>291</v>
      </c>
      <c r="C116" s="83">
        <v>1447.1333333333332</v>
      </c>
      <c r="D116" s="11" t="s">
        <v>27</v>
      </c>
      <c r="E116" s="11"/>
      <c r="F116" s="138" t="s">
        <v>195</v>
      </c>
    </row>
    <row r="117" spans="1:6" ht="12.75">
      <c r="A117" s="24" t="s">
        <v>295</v>
      </c>
      <c r="B117" s="27" t="s">
        <v>292</v>
      </c>
      <c r="C117" s="84">
        <v>1027.4416666666668</v>
      </c>
      <c r="D117" s="16" t="s">
        <v>27</v>
      </c>
      <c r="E117" s="42" t="s">
        <v>296</v>
      </c>
      <c r="F117" s="138"/>
    </row>
    <row r="118" spans="1:6" ht="12.75">
      <c r="A118" s="24" t="s">
        <v>293</v>
      </c>
      <c r="B118" s="27" t="s">
        <v>297</v>
      </c>
      <c r="C118" s="84">
        <v>2486.575</v>
      </c>
      <c r="D118" s="16" t="s">
        <v>27</v>
      </c>
      <c r="E118" s="25"/>
      <c r="F118" s="138"/>
    </row>
    <row r="119" spans="1:6" ht="12.75">
      <c r="A119" s="27" t="s">
        <v>301</v>
      </c>
      <c r="B119" s="27" t="s">
        <v>298</v>
      </c>
      <c r="C119" s="84">
        <v>175.5</v>
      </c>
      <c r="D119" s="16" t="s">
        <v>27</v>
      </c>
      <c r="E119" s="25"/>
      <c r="F119" s="138"/>
    </row>
    <row r="120" spans="1:6" ht="12.75">
      <c r="A120" s="24" t="s">
        <v>302</v>
      </c>
      <c r="B120" s="27" t="s">
        <v>299</v>
      </c>
      <c r="C120" s="84">
        <v>-187.5</v>
      </c>
      <c r="D120" s="16" t="s">
        <v>27</v>
      </c>
      <c r="E120" s="25"/>
      <c r="F120" s="138"/>
    </row>
    <row r="121" spans="1:6" ht="12.75">
      <c r="A121" s="27" t="s">
        <v>301</v>
      </c>
      <c r="B121" s="27" t="s">
        <v>179</v>
      </c>
      <c r="C121" s="84">
        <v>249.075</v>
      </c>
      <c r="D121" s="16" t="s">
        <v>27</v>
      </c>
      <c r="E121" s="25"/>
      <c r="F121" s="138"/>
    </row>
    <row r="122" spans="1:6" ht="12.75">
      <c r="A122" s="24" t="s">
        <v>302</v>
      </c>
      <c r="B122" s="27" t="s">
        <v>300</v>
      </c>
      <c r="C122" s="84">
        <v>-249.075</v>
      </c>
      <c r="D122" s="16" t="s">
        <v>27</v>
      </c>
      <c r="E122" s="25"/>
      <c r="F122" s="138"/>
    </row>
    <row r="123" spans="1:5" ht="12.75">
      <c r="A123" s="10" t="s">
        <v>303</v>
      </c>
      <c r="B123" s="80" t="s">
        <v>222</v>
      </c>
      <c r="C123" s="12">
        <v>25000</v>
      </c>
      <c r="D123" s="64" t="s">
        <v>74</v>
      </c>
      <c r="E123" s="13" t="s">
        <v>45</v>
      </c>
    </row>
    <row r="124" spans="1:5" ht="12.75">
      <c r="A124" s="13" t="s">
        <v>36</v>
      </c>
      <c r="B124" s="64" t="s">
        <v>9</v>
      </c>
      <c r="C124" s="12">
        <v>200</v>
      </c>
      <c r="D124" s="64" t="s">
        <v>27</v>
      </c>
      <c r="E124" s="64" t="s">
        <v>35</v>
      </c>
    </row>
    <row r="125" spans="1:5" ht="12.75">
      <c r="A125" s="24" t="s">
        <v>39</v>
      </c>
      <c r="B125" s="25" t="s">
        <v>9</v>
      </c>
      <c r="C125" s="26">
        <v>200</v>
      </c>
      <c r="D125" s="25" t="s">
        <v>27</v>
      </c>
      <c r="E125" s="25" t="s">
        <v>29</v>
      </c>
    </row>
    <row r="126" spans="1:5" ht="12.75">
      <c r="A126" s="10" t="s">
        <v>37</v>
      </c>
      <c r="B126" s="11" t="s">
        <v>28</v>
      </c>
      <c r="C126" s="12">
        <v>200</v>
      </c>
      <c r="D126" s="11" t="s">
        <v>27</v>
      </c>
      <c r="E126" s="10" t="s">
        <v>89</v>
      </c>
    </row>
    <row r="127" spans="1:5" ht="12.75">
      <c r="A127" s="13" t="s">
        <v>41</v>
      </c>
      <c r="B127" s="10" t="s">
        <v>219</v>
      </c>
      <c r="C127" s="12">
        <f>C128/12</f>
        <v>312.5</v>
      </c>
      <c r="D127" s="13" t="s">
        <v>27</v>
      </c>
      <c r="E127" s="65" t="s">
        <v>130</v>
      </c>
    </row>
    <row r="128" spans="1:5" ht="12.75">
      <c r="A128" s="4" t="s">
        <v>66</v>
      </c>
      <c r="B128" s="4" t="s">
        <v>65</v>
      </c>
      <c r="C128" s="9">
        <v>3750</v>
      </c>
      <c r="D128" s="16" t="s">
        <v>34</v>
      </c>
      <c r="E128" s="42" t="s">
        <v>220</v>
      </c>
    </row>
    <row r="129" spans="1:5" ht="12.75">
      <c r="A129" s="10" t="s">
        <v>111</v>
      </c>
      <c r="B129" s="10" t="s">
        <v>112</v>
      </c>
      <c r="C129" s="12">
        <v>798.2358438281937</v>
      </c>
      <c r="D129" s="11" t="s">
        <v>27</v>
      </c>
      <c r="E129" s="10" t="s">
        <v>239</v>
      </c>
    </row>
    <row r="130" spans="1:5" ht="12.75">
      <c r="A130" s="7" t="s">
        <v>41</v>
      </c>
      <c r="B130" s="17" t="s">
        <v>61</v>
      </c>
      <c r="C130" s="9">
        <v>79.81</v>
      </c>
      <c r="D130" s="16" t="s">
        <v>27</v>
      </c>
      <c r="E130" s="4" t="s">
        <v>311</v>
      </c>
    </row>
    <row r="131" spans="1:5" ht="12.75">
      <c r="A131" s="4" t="s">
        <v>66</v>
      </c>
      <c r="B131" s="17" t="s">
        <v>65</v>
      </c>
      <c r="C131" s="9">
        <v>87.38</v>
      </c>
      <c r="D131" s="16" t="s">
        <v>27</v>
      </c>
      <c r="E131" s="4" t="s">
        <v>312</v>
      </c>
    </row>
    <row r="132" spans="1:5" ht="12.75">
      <c r="A132" s="10" t="s">
        <v>228</v>
      </c>
      <c r="B132" s="13" t="s">
        <v>225</v>
      </c>
      <c r="C132" s="12">
        <v>50</v>
      </c>
      <c r="D132" s="64" t="s">
        <v>27</v>
      </c>
      <c r="E132" s="80" t="s">
        <v>313</v>
      </c>
    </row>
    <row r="133" spans="1:5" ht="12.75">
      <c r="A133" s="10" t="s">
        <v>128</v>
      </c>
      <c r="B133" s="11" t="s">
        <v>127</v>
      </c>
      <c r="C133" s="12">
        <f>600/12</f>
        <v>50</v>
      </c>
      <c r="D133" s="64" t="s">
        <v>27</v>
      </c>
      <c r="E133" s="80" t="s">
        <v>129</v>
      </c>
    </row>
    <row r="134" spans="1:5" ht="12.75">
      <c r="A134" s="10" t="s">
        <v>314</v>
      </c>
      <c r="B134" s="10" t="s">
        <v>240</v>
      </c>
      <c r="C134" s="12">
        <f>3227.44/5/12</f>
        <v>53.790666666666674</v>
      </c>
      <c r="D134" s="11" t="s">
        <v>27</v>
      </c>
      <c r="E134" s="11" t="s">
        <v>241</v>
      </c>
    </row>
    <row r="135" spans="1:6" ht="12.75">
      <c r="A135" s="13" t="s">
        <v>215</v>
      </c>
      <c r="B135" s="10" t="s">
        <v>216</v>
      </c>
      <c r="C135" s="12">
        <f>50000/10/12</f>
        <v>416.6666666666667</v>
      </c>
      <c r="D135" s="11" t="s">
        <v>27</v>
      </c>
      <c r="E135" s="10" t="s">
        <v>101</v>
      </c>
      <c r="F135" s="139">
        <f>SUM(C135:C138)</f>
        <v>825</v>
      </c>
    </row>
    <row r="136" spans="1:6" ht="12.75">
      <c r="A136" s="24" t="s">
        <v>38</v>
      </c>
      <c r="B136" s="24" t="s">
        <v>90</v>
      </c>
      <c r="C136" s="26">
        <f>2000/5/12</f>
        <v>33.333333333333336</v>
      </c>
      <c r="D136" s="25" t="s">
        <v>27</v>
      </c>
      <c r="E136" s="24" t="s">
        <v>77</v>
      </c>
      <c r="F136" s="140"/>
    </row>
    <row r="137" spans="1:6" ht="12.75">
      <c r="A137" s="17" t="s">
        <v>38</v>
      </c>
      <c r="B137" s="17" t="s">
        <v>100</v>
      </c>
      <c r="C137" s="26">
        <v>125</v>
      </c>
      <c r="D137" s="25" t="s">
        <v>27</v>
      </c>
      <c r="E137" s="24" t="s">
        <v>101</v>
      </c>
      <c r="F137" s="140"/>
    </row>
    <row r="138" spans="1:6" ht="12.75">
      <c r="A138" s="35" t="s">
        <v>38</v>
      </c>
      <c r="B138" s="35" t="s">
        <v>114</v>
      </c>
      <c r="C138" s="36">
        <f>15000/5/12</f>
        <v>250</v>
      </c>
      <c r="D138" s="37" t="s">
        <v>27</v>
      </c>
      <c r="E138" s="35" t="s">
        <v>77</v>
      </c>
      <c r="F138" s="140"/>
    </row>
    <row r="139" spans="1:5" ht="12.75">
      <c r="A139" s="10" t="s">
        <v>141</v>
      </c>
      <c r="B139" s="11" t="s">
        <v>142</v>
      </c>
      <c r="C139" s="12">
        <v>10000</v>
      </c>
      <c r="D139" s="11" t="s">
        <v>74</v>
      </c>
      <c r="E139" s="10" t="s">
        <v>316</v>
      </c>
    </row>
    <row r="140" spans="1:5" ht="12.75">
      <c r="A140" s="17" t="s">
        <v>144</v>
      </c>
      <c r="B140" s="16" t="s">
        <v>106</v>
      </c>
      <c r="C140" s="9">
        <v>41.67</v>
      </c>
      <c r="D140" s="16" t="s">
        <v>74</v>
      </c>
      <c r="E140" s="42" t="s">
        <v>317</v>
      </c>
    </row>
    <row r="142" ht="12.75">
      <c r="A142" s="8">
        <v>37257</v>
      </c>
    </row>
    <row r="143" spans="1:5" ht="12.75">
      <c r="A143" s="10" t="s">
        <v>147</v>
      </c>
      <c r="B143" s="10" t="s">
        <v>320</v>
      </c>
      <c r="C143" s="12">
        <v>-20</v>
      </c>
      <c r="D143" s="11" t="s">
        <v>27</v>
      </c>
      <c r="E143" s="10" t="s">
        <v>318</v>
      </c>
    </row>
    <row r="144" spans="1:5" ht="12.75">
      <c r="A144" s="4" t="s">
        <v>150</v>
      </c>
      <c r="B144" s="42" t="s">
        <v>319</v>
      </c>
      <c r="C144" s="9">
        <v>300</v>
      </c>
      <c r="D144" s="16" t="s">
        <v>27</v>
      </c>
      <c r="E144" s="42" t="s">
        <v>321</v>
      </c>
    </row>
    <row r="145" spans="1:5" ht="12.75">
      <c r="A145" s="10" t="s">
        <v>147</v>
      </c>
      <c r="B145" s="10" t="s">
        <v>149</v>
      </c>
      <c r="C145" s="12">
        <v>300</v>
      </c>
      <c r="D145" s="11" t="s">
        <v>27</v>
      </c>
      <c r="E145" s="13" t="s">
        <v>256</v>
      </c>
    </row>
    <row r="146" spans="1:5" ht="12.75">
      <c r="A146" s="4" t="s">
        <v>150</v>
      </c>
      <c r="B146" s="42" t="s">
        <v>148</v>
      </c>
      <c r="C146" s="9">
        <v>300</v>
      </c>
      <c r="D146" s="16" t="s">
        <v>27</v>
      </c>
      <c r="E146" s="42" t="s">
        <v>322</v>
      </c>
    </row>
    <row r="147" spans="1:5" ht="12.75">
      <c r="A147" s="11" t="s">
        <v>245</v>
      </c>
      <c r="B147" s="11" t="s">
        <v>244</v>
      </c>
      <c r="C147" s="12">
        <v>3200</v>
      </c>
      <c r="D147" s="11" t="s">
        <v>253</v>
      </c>
      <c r="E147" s="11" t="s">
        <v>254</v>
      </c>
    </row>
    <row r="148" spans="1:5" ht="12.75">
      <c r="A148" t="s">
        <v>255</v>
      </c>
      <c r="B148" s="4" t="s">
        <v>323</v>
      </c>
      <c r="C148" s="9">
        <v>3200</v>
      </c>
      <c r="D148" t="s">
        <v>27</v>
      </c>
      <c r="E148" t="s">
        <v>325</v>
      </c>
    </row>
    <row r="149" spans="1:5" ht="12.75">
      <c r="A149" t="s">
        <v>255</v>
      </c>
      <c r="B149" s="4" t="s">
        <v>257</v>
      </c>
      <c r="C149" s="9">
        <v>1200</v>
      </c>
      <c r="D149" t="s">
        <v>27</v>
      </c>
      <c r="E149" t="s">
        <v>324</v>
      </c>
    </row>
    <row r="150" spans="1:5" ht="12.75">
      <c r="A150" s="11" t="s">
        <v>245</v>
      </c>
      <c r="B150" s="10" t="s">
        <v>259</v>
      </c>
      <c r="C150" s="12">
        <v>3000</v>
      </c>
      <c r="D150" s="11" t="s">
        <v>253</v>
      </c>
      <c r="E150" s="11" t="s">
        <v>254</v>
      </c>
    </row>
    <row r="151" spans="1:5" ht="12.75">
      <c r="A151" t="s">
        <v>255</v>
      </c>
      <c r="B151" s="4" t="s">
        <v>326</v>
      </c>
      <c r="C151" s="9">
        <v>3000</v>
      </c>
      <c r="D151" t="s">
        <v>27</v>
      </c>
      <c r="E151" t="s">
        <v>325</v>
      </c>
    </row>
    <row r="152" spans="1:5" ht="12.75">
      <c r="A152" t="s">
        <v>255</v>
      </c>
      <c r="B152" s="4" t="s">
        <v>260</v>
      </c>
      <c r="C152" s="9">
        <v>2000</v>
      </c>
      <c r="D152" t="s">
        <v>27</v>
      </c>
      <c r="E152" t="s">
        <v>324</v>
      </c>
    </row>
    <row r="153" spans="1:5" ht="12.75">
      <c r="A153" s="80" t="s">
        <v>274</v>
      </c>
      <c r="B153" s="13" t="s">
        <v>265</v>
      </c>
      <c r="C153" s="12">
        <v>1000</v>
      </c>
      <c r="D153" s="11" t="s">
        <v>27</v>
      </c>
      <c r="E153" s="11" t="s">
        <v>275</v>
      </c>
    </row>
    <row r="154" spans="1:5" ht="12.75">
      <c r="A154" s="16" t="s">
        <v>276</v>
      </c>
      <c r="B154" s="4" t="s">
        <v>327</v>
      </c>
      <c r="C154" s="9">
        <v>1250</v>
      </c>
      <c r="D154" s="16" t="s">
        <v>27</v>
      </c>
      <c r="E154" s="16" t="s">
        <v>275</v>
      </c>
    </row>
    <row r="155" spans="1:5" ht="12.75">
      <c r="A155" s="80" t="s">
        <v>280</v>
      </c>
      <c r="B155" s="10" t="s">
        <v>281</v>
      </c>
      <c r="C155" s="12">
        <f>72*16</f>
        <v>1152</v>
      </c>
      <c r="D155" s="11" t="s">
        <v>27</v>
      </c>
      <c r="E155" s="11" t="s">
        <v>283</v>
      </c>
    </row>
    <row r="156" spans="1:5" ht="12.75">
      <c r="A156" t="s">
        <v>280</v>
      </c>
      <c r="B156" s="4" t="s">
        <v>282</v>
      </c>
      <c r="C156" s="9">
        <f>124*16</f>
        <v>1984</v>
      </c>
      <c r="D156" s="16" t="s">
        <v>27</v>
      </c>
      <c r="E156" s="16" t="s">
        <v>283</v>
      </c>
    </row>
    <row r="157" spans="1:5" ht="12.75">
      <c r="A157" s="85" t="s">
        <v>97</v>
      </c>
      <c r="B157" s="13" t="s">
        <v>328</v>
      </c>
      <c r="C157" s="12">
        <v>0</v>
      </c>
      <c r="D157" s="11" t="s">
        <v>97</v>
      </c>
      <c r="E157" s="11" t="s">
        <v>97</v>
      </c>
    </row>
    <row r="158" ht="12.75">
      <c r="A158" s="63" t="s">
        <v>217</v>
      </c>
    </row>
    <row r="159" spans="1:5" ht="12.75">
      <c r="A159" s="10" t="s">
        <v>141</v>
      </c>
      <c r="B159" s="10" t="s">
        <v>230</v>
      </c>
      <c r="C159" s="12">
        <v>10000</v>
      </c>
      <c r="D159" s="11" t="s">
        <v>27</v>
      </c>
      <c r="E159" s="13" t="s">
        <v>250</v>
      </c>
    </row>
    <row r="160" spans="1:5" ht="12.75">
      <c r="A160" s="17" t="s">
        <v>144</v>
      </c>
      <c r="B160" s="16" t="s">
        <v>106</v>
      </c>
      <c r="C160" s="9">
        <v>41.67</v>
      </c>
      <c r="D160" s="16" t="s">
        <v>27</v>
      </c>
      <c r="E160" s="42" t="s">
        <v>317</v>
      </c>
    </row>
    <row r="161" spans="1:6" ht="12.75">
      <c r="A161" s="13" t="s">
        <v>294</v>
      </c>
      <c r="B161" s="13" t="s">
        <v>291</v>
      </c>
      <c r="C161" s="83">
        <v>1447.1333333333332</v>
      </c>
      <c r="D161" s="11" t="s">
        <v>27</v>
      </c>
      <c r="E161" s="11"/>
      <c r="F161" s="138" t="s">
        <v>195</v>
      </c>
    </row>
    <row r="162" spans="1:6" ht="12.75">
      <c r="A162" s="24" t="s">
        <v>295</v>
      </c>
      <c r="B162" s="27" t="s">
        <v>292</v>
      </c>
      <c r="C162" s="84">
        <v>1027.4416666666668</v>
      </c>
      <c r="D162" s="16" t="s">
        <v>27</v>
      </c>
      <c r="E162" s="42" t="s">
        <v>296</v>
      </c>
      <c r="F162" s="138"/>
    </row>
    <row r="163" spans="1:6" ht="12.75">
      <c r="A163" s="24" t="s">
        <v>293</v>
      </c>
      <c r="B163" s="27" t="s">
        <v>297</v>
      </c>
      <c r="C163" s="84">
        <v>2299.075</v>
      </c>
      <c r="D163" s="16" t="s">
        <v>27</v>
      </c>
      <c r="E163" s="25"/>
      <c r="F163" s="138"/>
    </row>
    <row r="164" spans="1:6" ht="12.75">
      <c r="A164" s="27" t="s">
        <v>301</v>
      </c>
      <c r="B164" s="27" t="s">
        <v>298</v>
      </c>
      <c r="C164" s="84">
        <v>175.5</v>
      </c>
      <c r="D164" s="16" t="s">
        <v>27</v>
      </c>
      <c r="E164" s="25"/>
      <c r="F164" s="138"/>
    </row>
    <row r="165" spans="1:6" ht="12.75">
      <c r="A165" s="24" t="s">
        <v>302</v>
      </c>
      <c r="B165" s="27" t="s">
        <v>299</v>
      </c>
      <c r="C165" s="84">
        <v>0</v>
      </c>
      <c r="D165" s="16" t="s">
        <v>27</v>
      </c>
      <c r="E165" s="25"/>
      <c r="F165" s="138"/>
    </row>
    <row r="166" spans="1:6" ht="12.75">
      <c r="A166" s="27" t="s">
        <v>301</v>
      </c>
      <c r="B166" s="27" t="s">
        <v>179</v>
      </c>
      <c r="C166" s="84">
        <v>249.075</v>
      </c>
      <c r="D166" s="16" t="s">
        <v>27</v>
      </c>
      <c r="E166" s="25"/>
      <c r="F166" s="138"/>
    </row>
    <row r="167" spans="1:6" ht="12.75">
      <c r="A167" s="24" t="s">
        <v>302</v>
      </c>
      <c r="B167" s="27" t="s">
        <v>300</v>
      </c>
      <c r="C167" s="84">
        <v>-249.075</v>
      </c>
      <c r="D167" s="16" t="s">
        <v>27</v>
      </c>
      <c r="E167" s="25"/>
      <c r="F167" s="138"/>
    </row>
    <row r="168" spans="1:5" ht="12.75">
      <c r="A168" s="13" t="s">
        <v>36</v>
      </c>
      <c r="B168" s="64" t="s">
        <v>9</v>
      </c>
      <c r="C168" s="12">
        <v>200</v>
      </c>
      <c r="D168" s="64" t="s">
        <v>27</v>
      </c>
      <c r="E168" s="64" t="s">
        <v>35</v>
      </c>
    </row>
    <row r="169" spans="1:5" ht="12.75">
      <c r="A169" s="24" t="s">
        <v>39</v>
      </c>
      <c r="B169" s="25" t="s">
        <v>9</v>
      </c>
      <c r="C169" s="26">
        <v>200</v>
      </c>
      <c r="D169" s="25" t="s">
        <v>27</v>
      </c>
      <c r="E169" s="25" t="s">
        <v>29</v>
      </c>
    </row>
    <row r="170" spans="1:5" ht="12.75">
      <c r="A170" s="10" t="s">
        <v>37</v>
      </c>
      <c r="B170" s="11" t="s">
        <v>28</v>
      </c>
      <c r="C170" s="12">
        <v>200</v>
      </c>
      <c r="D170" s="11" t="s">
        <v>27</v>
      </c>
      <c r="E170" s="80" t="s">
        <v>313</v>
      </c>
    </row>
    <row r="171" spans="1:5" ht="12.75">
      <c r="A171" s="13" t="s">
        <v>41</v>
      </c>
      <c r="B171" s="10" t="s">
        <v>219</v>
      </c>
      <c r="C171" s="12">
        <f>C172/12</f>
        <v>312.5</v>
      </c>
      <c r="D171" s="13" t="s">
        <v>27</v>
      </c>
      <c r="E171" s="65" t="s">
        <v>130</v>
      </c>
    </row>
    <row r="172" spans="1:5" ht="12.75">
      <c r="A172" s="4" t="s">
        <v>66</v>
      </c>
      <c r="B172" s="4" t="s">
        <v>65</v>
      </c>
      <c r="C172" s="9">
        <v>3750</v>
      </c>
      <c r="D172" s="16" t="s">
        <v>34</v>
      </c>
      <c r="E172" s="42" t="s">
        <v>220</v>
      </c>
    </row>
    <row r="173" spans="1:5" ht="12.75">
      <c r="A173" s="10" t="s">
        <v>111</v>
      </c>
      <c r="B173" s="10" t="s">
        <v>112</v>
      </c>
      <c r="C173" s="12">
        <v>805.81</v>
      </c>
      <c r="D173" s="11" t="s">
        <v>27</v>
      </c>
      <c r="E173" s="10" t="s">
        <v>317</v>
      </c>
    </row>
    <row r="174" spans="1:5" ht="12.75">
      <c r="A174" s="7" t="s">
        <v>41</v>
      </c>
      <c r="B174" s="17" t="s">
        <v>61</v>
      </c>
      <c r="C174" s="9">
        <v>72.16</v>
      </c>
      <c r="D174" s="16" t="s">
        <v>27</v>
      </c>
      <c r="E174" s="4" t="s">
        <v>329</v>
      </c>
    </row>
    <row r="175" spans="1:5" ht="12.75">
      <c r="A175" s="4" t="s">
        <v>66</v>
      </c>
      <c r="B175" s="17" t="s">
        <v>65</v>
      </c>
      <c r="C175" s="9">
        <v>79.81</v>
      </c>
      <c r="D175" s="16" t="s">
        <v>27</v>
      </c>
      <c r="E175" s="4" t="s">
        <v>330</v>
      </c>
    </row>
    <row r="176" spans="1:5" ht="12.75">
      <c r="A176" s="10" t="s">
        <v>228</v>
      </c>
      <c r="B176" s="13" t="s">
        <v>225</v>
      </c>
      <c r="C176" s="12">
        <v>50</v>
      </c>
      <c r="D176" s="64" t="s">
        <v>27</v>
      </c>
      <c r="E176" s="80" t="s">
        <v>313</v>
      </c>
    </row>
    <row r="177" spans="1:5" ht="12.75">
      <c r="A177" s="10" t="s">
        <v>128</v>
      </c>
      <c r="B177" s="11" t="s">
        <v>127</v>
      </c>
      <c r="C177" s="12">
        <f>600/12</f>
        <v>50</v>
      </c>
      <c r="D177" s="64" t="s">
        <v>27</v>
      </c>
      <c r="E177" s="80" t="s">
        <v>129</v>
      </c>
    </row>
    <row r="178" spans="1:5" ht="12.75">
      <c r="A178" s="10" t="s">
        <v>314</v>
      </c>
      <c r="B178" s="10" t="s">
        <v>240</v>
      </c>
      <c r="C178" s="12">
        <f>3227.44/5/12</f>
        <v>53.790666666666674</v>
      </c>
      <c r="D178" s="11" t="s">
        <v>27</v>
      </c>
      <c r="E178" s="11" t="s">
        <v>241</v>
      </c>
    </row>
    <row r="179" spans="1:6" ht="12.75">
      <c r="A179" s="13" t="s">
        <v>215</v>
      </c>
      <c r="B179" s="10" t="s">
        <v>216</v>
      </c>
      <c r="C179" s="12">
        <f>50000/10/12</f>
        <v>416.6666666666667</v>
      </c>
      <c r="D179" s="11" t="s">
        <v>27</v>
      </c>
      <c r="E179" s="10" t="s">
        <v>101</v>
      </c>
      <c r="F179" s="139">
        <f>SUM(C179:C182)</f>
        <v>825</v>
      </c>
    </row>
    <row r="180" spans="1:6" ht="12.75">
      <c r="A180" s="24" t="s">
        <v>38</v>
      </c>
      <c r="B180" s="24" t="s">
        <v>90</v>
      </c>
      <c r="C180" s="26">
        <f>2000/5/12</f>
        <v>33.333333333333336</v>
      </c>
      <c r="D180" s="25" t="s">
        <v>27</v>
      </c>
      <c r="E180" s="24" t="s">
        <v>77</v>
      </c>
      <c r="F180" s="140"/>
    </row>
    <row r="181" spans="1:6" ht="12.75">
      <c r="A181" s="17" t="s">
        <v>38</v>
      </c>
      <c r="B181" s="17" t="s">
        <v>100</v>
      </c>
      <c r="C181" s="26">
        <v>125</v>
      </c>
      <c r="D181" s="25" t="s">
        <v>27</v>
      </c>
      <c r="E181" s="24" t="s">
        <v>101</v>
      </c>
      <c r="F181" s="140"/>
    </row>
    <row r="182" spans="1:6" ht="12.75">
      <c r="A182" s="35" t="s">
        <v>38</v>
      </c>
      <c r="B182" s="35" t="s">
        <v>114</v>
      </c>
      <c r="C182" s="36">
        <f>15000/5/12</f>
        <v>250</v>
      </c>
      <c r="D182" s="37" t="s">
        <v>27</v>
      </c>
      <c r="E182" s="35" t="s">
        <v>77</v>
      </c>
      <c r="F182" s="140"/>
    </row>
    <row r="183" spans="1:5" ht="12.75">
      <c r="A183" s="10" t="s">
        <v>141</v>
      </c>
      <c r="B183" s="11" t="s">
        <v>142</v>
      </c>
      <c r="C183" s="12">
        <v>5000</v>
      </c>
      <c r="D183" s="11" t="s">
        <v>74</v>
      </c>
      <c r="E183" s="10" t="s">
        <v>331</v>
      </c>
    </row>
    <row r="184" spans="1:5" ht="12.75">
      <c r="A184" s="17" t="s">
        <v>144</v>
      </c>
      <c r="B184" s="16" t="s">
        <v>106</v>
      </c>
      <c r="C184" s="9">
        <v>20.83</v>
      </c>
      <c r="D184" s="16" t="s">
        <v>74</v>
      </c>
      <c r="E184" s="42" t="s">
        <v>332</v>
      </c>
    </row>
    <row r="185" spans="1:5" ht="12.75">
      <c r="A185" s="85" t="s">
        <v>374</v>
      </c>
      <c r="B185" s="11" t="s">
        <v>375</v>
      </c>
      <c r="C185" s="12">
        <v>6988.11</v>
      </c>
      <c r="D185" s="11" t="s">
        <v>34</v>
      </c>
      <c r="E185" s="11" t="s">
        <v>256</v>
      </c>
    </row>
    <row r="187" ht="12.75">
      <c r="A187" s="8">
        <v>37288</v>
      </c>
    </row>
    <row r="188" spans="1:5" ht="12.75">
      <c r="A188" s="10" t="s">
        <v>147</v>
      </c>
      <c r="B188" s="10" t="s">
        <v>333</v>
      </c>
      <c r="C188" s="12">
        <v>100</v>
      </c>
      <c r="D188" s="11" t="s">
        <v>27</v>
      </c>
      <c r="E188" s="10"/>
    </row>
    <row r="189" spans="1:5" ht="12.75">
      <c r="A189" s="4" t="s">
        <v>150</v>
      </c>
      <c r="B189" s="42" t="s">
        <v>334</v>
      </c>
      <c r="C189" s="9">
        <v>400</v>
      </c>
      <c r="D189" s="16" t="s">
        <v>27</v>
      </c>
      <c r="E189" s="42" t="s">
        <v>350</v>
      </c>
    </row>
    <row r="190" spans="1:5" ht="12.75">
      <c r="A190" s="10" t="s">
        <v>147</v>
      </c>
      <c r="B190" s="10" t="s">
        <v>149</v>
      </c>
      <c r="C190" s="12">
        <v>300</v>
      </c>
      <c r="D190" s="11" t="s">
        <v>27</v>
      </c>
      <c r="E190" s="13" t="s">
        <v>251</v>
      </c>
    </row>
    <row r="191" spans="1:5" ht="12.75">
      <c r="A191" s="4" t="s">
        <v>150</v>
      </c>
      <c r="B191" s="42" t="s">
        <v>148</v>
      </c>
      <c r="C191" s="9">
        <v>300</v>
      </c>
      <c r="D191" s="16" t="s">
        <v>27</v>
      </c>
      <c r="E191" s="42" t="s">
        <v>335</v>
      </c>
    </row>
    <row r="192" spans="1:5" ht="12.75">
      <c r="A192" s="11" t="s">
        <v>245</v>
      </c>
      <c r="B192" s="11" t="s">
        <v>244</v>
      </c>
      <c r="C192" s="12">
        <f>250*18</f>
        <v>4500</v>
      </c>
      <c r="D192" s="11" t="s">
        <v>253</v>
      </c>
      <c r="E192" s="11" t="s">
        <v>254</v>
      </c>
    </row>
    <row r="193" spans="1:5" ht="12.75">
      <c r="A193" t="s">
        <v>255</v>
      </c>
      <c r="B193" s="4" t="s">
        <v>336</v>
      </c>
      <c r="C193" s="26">
        <f>250*18</f>
        <v>4500</v>
      </c>
      <c r="D193" s="16" t="s">
        <v>27</v>
      </c>
      <c r="E193" s="17" t="s">
        <v>52</v>
      </c>
    </row>
    <row r="194" spans="1:5" ht="12.75">
      <c r="A194" t="s">
        <v>255</v>
      </c>
      <c r="B194" s="4" t="s">
        <v>323</v>
      </c>
      <c r="C194" s="9">
        <v>3200</v>
      </c>
      <c r="D194" t="s">
        <v>27</v>
      </c>
      <c r="E194" t="s">
        <v>325</v>
      </c>
    </row>
    <row r="195" spans="1:5" ht="12.75">
      <c r="A195" t="s">
        <v>255</v>
      </c>
      <c r="B195" s="4" t="s">
        <v>257</v>
      </c>
      <c r="C195" s="9">
        <v>1200</v>
      </c>
      <c r="D195" t="s">
        <v>27</v>
      </c>
      <c r="E195" t="s">
        <v>324</v>
      </c>
    </row>
    <row r="196" spans="1:5" ht="12.75">
      <c r="A196" s="11" t="s">
        <v>245</v>
      </c>
      <c r="B196" s="10" t="s">
        <v>259</v>
      </c>
      <c r="C196" s="12">
        <v>1000</v>
      </c>
      <c r="D196" s="11" t="s">
        <v>253</v>
      </c>
      <c r="E196" s="11" t="s">
        <v>254</v>
      </c>
    </row>
    <row r="197" spans="1:5" ht="12.75">
      <c r="A197" t="s">
        <v>255</v>
      </c>
      <c r="B197" s="4" t="s">
        <v>337</v>
      </c>
      <c r="C197" s="9">
        <v>1000</v>
      </c>
      <c r="D197" t="s">
        <v>27</v>
      </c>
      <c r="E197" s="16" t="s">
        <v>52</v>
      </c>
    </row>
    <row r="198" spans="1:5" ht="12.75">
      <c r="A198" t="s">
        <v>255</v>
      </c>
      <c r="B198" s="4" t="s">
        <v>326</v>
      </c>
      <c r="C198" s="9">
        <v>3000</v>
      </c>
      <c r="D198" t="s">
        <v>27</v>
      </c>
      <c r="E198" t="s">
        <v>325</v>
      </c>
    </row>
    <row r="199" spans="1:5" ht="12.75">
      <c r="A199" t="s">
        <v>255</v>
      </c>
      <c r="B199" s="4" t="s">
        <v>260</v>
      </c>
      <c r="C199" s="9">
        <v>2000</v>
      </c>
      <c r="D199" t="s">
        <v>27</v>
      </c>
      <c r="E199" t="s">
        <v>324</v>
      </c>
    </row>
    <row r="200" spans="1:5" ht="12.75">
      <c r="A200" s="80" t="s">
        <v>274</v>
      </c>
      <c r="B200" s="13" t="s">
        <v>265</v>
      </c>
      <c r="C200" s="12">
        <v>1800</v>
      </c>
      <c r="D200" s="11" t="s">
        <v>27</v>
      </c>
      <c r="E200" s="11" t="s">
        <v>275</v>
      </c>
    </row>
    <row r="201" spans="1:5" ht="12.75">
      <c r="A201" s="16" t="s">
        <v>276</v>
      </c>
      <c r="B201" s="4" t="s">
        <v>327</v>
      </c>
      <c r="C201" s="9">
        <v>1900</v>
      </c>
      <c r="D201" s="16" t="s">
        <v>27</v>
      </c>
      <c r="E201" s="16" t="s">
        <v>275</v>
      </c>
    </row>
    <row r="202" spans="1:5" ht="12.75">
      <c r="A202" s="80" t="s">
        <v>280</v>
      </c>
      <c r="B202" s="10" t="s">
        <v>281</v>
      </c>
      <c r="C202" s="12">
        <v>1413.62</v>
      </c>
      <c r="D202" s="11" t="s">
        <v>27</v>
      </c>
      <c r="E202" s="11" t="s">
        <v>283</v>
      </c>
    </row>
    <row r="203" spans="1:5" ht="12.75">
      <c r="A203" t="s">
        <v>280</v>
      </c>
      <c r="B203" s="4" t="s">
        <v>282</v>
      </c>
      <c r="C203" s="9">
        <v>2773.56</v>
      </c>
      <c r="D203" s="16" t="s">
        <v>27</v>
      </c>
      <c r="E203" s="16" t="s">
        <v>283</v>
      </c>
    </row>
    <row r="204" spans="1:5" ht="12.75">
      <c r="A204" s="85" t="s">
        <v>97</v>
      </c>
      <c r="B204" s="13" t="s">
        <v>342</v>
      </c>
      <c r="C204" s="12">
        <v>0</v>
      </c>
      <c r="D204" s="11" t="s">
        <v>97</v>
      </c>
      <c r="E204" s="11" t="s">
        <v>97</v>
      </c>
    </row>
    <row r="205" ht="12.75">
      <c r="A205" s="63" t="s">
        <v>217</v>
      </c>
    </row>
    <row r="206" spans="1:5" ht="12.75">
      <c r="A206" s="10" t="s">
        <v>141</v>
      </c>
      <c r="B206" s="10" t="s">
        <v>230</v>
      </c>
      <c r="C206" s="12">
        <v>5000</v>
      </c>
      <c r="D206" s="11" t="s">
        <v>27</v>
      </c>
      <c r="E206" s="13" t="s">
        <v>250</v>
      </c>
    </row>
    <row r="207" spans="1:5" ht="12.75">
      <c r="A207" s="17" t="s">
        <v>144</v>
      </c>
      <c r="B207" s="16" t="s">
        <v>106</v>
      </c>
      <c r="C207" s="9">
        <v>20.83</v>
      </c>
      <c r="D207" s="16" t="s">
        <v>27</v>
      </c>
      <c r="E207" s="42" t="s">
        <v>317</v>
      </c>
    </row>
    <row r="208" spans="1:6" ht="12.75">
      <c r="A208" s="13" t="s">
        <v>294</v>
      </c>
      <c r="B208" s="13" t="s">
        <v>291</v>
      </c>
      <c r="C208" s="83">
        <v>1447.1333333333332</v>
      </c>
      <c r="D208" s="11" t="s">
        <v>27</v>
      </c>
      <c r="E208" s="11"/>
      <c r="F208" s="138" t="s">
        <v>195</v>
      </c>
    </row>
    <row r="209" spans="1:6" ht="12.75">
      <c r="A209" s="24" t="s">
        <v>295</v>
      </c>
      <c r="B209" s="27" t="s">
        <v>292</v>
      </c>
      <c r="C209" s="84">
        <v>1027.4416666666668</v>
      </c>
      <c r="D209" s="16" t="s">
        <v>27</v>
      </c>
      <c r="E209" s="42" t="s">
        <v>296</v>
      </c>
      <c r="F209" s="138"/>
    </row>
    <row r="210" spans="1:6" ht="12.75">
      <c r="A210" s="24" t="s">
        <v>293</v>
      </c>
      <c r="B210" s="27" t="s">
        <v>297</v>
      </c>
      <c r="C210" s="84">
        <v>2299.075</v>
      </c>
      <c r="D210" s="16" t="s">
        <v>27</v>
      </c>
      <c r="E210" s="25"/>
      <c r="F210" s="138"/>
    </row>
    <row r="211" spans="1:6" ht="12.75">
      <c r="A211" s="27" t="s">
        <v>301</v>
      </c>
      <c r="B211" s="27" t="s">
        <v>298</v>
      </c>
      <c r="C211" s="84">
        <v>175.5</v>
      </c>
      <c r="D211" s="16" t="s">
        <v>27</v>
      </c>
      <c r="E211" s="25"/>
      <c r="F211" s="138"/>
    </row>
    <row r="212" spans="1:6" ht="12.75">
      <c r="A212" s="24" t="s">
        <v>302</v>
      </c>
      <c r="B212" s="27" t="s">
        <v>299</v>
      </c>
      <c r="C212" s="84">
        <v>0</v>
      </c>
      <c r="D212" s="16" t="s">
        <v>27</v>
      </c>
      <c r="E212" s="25"/>
      <c r="F212" s="138"/>
    </row>
    <row r="213" spans="1:6" ht="12.75">
      <c r="A213" s="27" t="s">
        <v>301</v>
      </c>
      <c r="B213" s="27" t="s">
        <v>179</v>
      </c>
      <c r="C213" s="84">
        <v>249.075</v>
      </c>
      <c r="D213" s="16" t="s">
        <v>27</v>
      </c>
      <c r="E213" s="25"/>
      <c r="F213" s="138"/>
    </row>
    <row r="214" spans="1:6" ht="12.75">
      <c r="A214" s="24" t="s">
        <v>302</v>
      </c>
      <c r="B214" s="27" t="s">
        <v>300</v>
      </c>
      <c r="C214" s="84">
        <v>-249.075</v>
      </c>
      <c r="D214" s="16" t="s">
        <v>27</v>
      </c>
      <c r="E214" s="25"/>
      <c r="F214" s="138"/>
    </row>
    <row r="215" spans="1:5" ht="12.75">
      <c r="A215" s="13" t="s">
        <v>36</v>
      </c>
      <c r="B215" s="64" t="s">
        <v>9</v>
      </c>
      <c r="C215" s="12">
        <v>200</v>
      </c>
      <c r="D215" s="64" t="s">
        <v>27</v>
      </c>
      <c r="E215" s="64" t="s">
        <v>35</v>
      </c>
    </row>
    <row r="216" spans="1:5" ht="12.75">
      <c r="A216" s="24" t="s">
        <v>39</v>
      </c>
      <c r="B216" s="25" t="s">
        <v>9</v>
      </c>
      <c r="C216" s="26">
        <v>200</v>
      </c>
      <c r="D216" s="25" t="s">
        <v>27</v>
      </c>
      <c r="E216" s="25" t="s">
        <v>29</v>
      </c>
    </row>
    <row r="217" spans="1:5" ht="12.75">
      <c r="A217" s="10" t="s">
        <v>37</v>
      </c>
      <c r="B217" s="11" t="s">
        <v>28</v>
      </c>
      <c r="C217" s="12">
        <v>200</v>
      </c>
      <c r="D217" s="11" t="s">
        <v>27</v>
      </c>
      <c r="E217" s="80" t="s">
        <v>313</v>
      </c>
    </row>
    <row r="218" spans="1:5" ht="12.75">
      <c r="A218" s="13" t="s">
        <v>41</v>
      </c>
      <c r="B218" s="10" t="s">
        <v>219</v>
      </c>
      <c r="C218" s="12">
        <f>C219/12</f>
        <v>312.5</v>
      </c>
      <c r="D218" s="13" t="s">
        <v>27</v>
      </c>
      <c r="E218" s="65" t="s">
        <v>130</v>
      </c>
    </row>
    <row r="219" spans="1:5" ht="12.75">
      <c r="A219" s="4" t="s">
        <v>66</v>
      </c>
      <c r="B219" s="4" t="s">
        <v>65</v>
      </c>
      <c r="C219" s="9">
        <v>3750</v>
      </c>
      <c r="D219" s="16" t="s">
        <v>34</v>
      </c>
      <c r="E219" s="42" t="s">
        <v>220</v>
      </c>
    </row>
    <row r="220" spans="1:5" ht="12.75">
      <c r="A220" s="10" t="s">
        <v>111</v>
      </c>
      <c r="B220" s="10" t="s">
        <v>112</v>
      </c>
      <c r="C220" s="12">
        <v>813.46</v>
      </c>
      <c r="D220" s="11" t="s">
        <v>27</v>
      </c>
      <c r="E220" s="10" t="s">
        <v>332</v>
      </c>
    </row>
    <row r="221" spans="1:5" ht="12.75">
      <c r="A221" s="7" t="s">
        <v>41</v>
      </c>
      <c r="B221" s="17" t="s">
        <v>61</v>
      </c>
      <c r="C221" s="9">
        <v>64.45</v>
      </c>
      <c r="D221" s="16" t="s">
        <v>27</v>
      </c>
      <c r="E221" s="4" t="s">
        <v>343</v>
      </c>
    </row>
    <row r="222" spans="1:5" ht="12.75">
      <c r="A222" s="4" t="s">
        <v>66</v>
      </c>
      <c r="B222" s="17" t="s">
        <v>65</v>
      </c>
      <c r="C222" s="9">
        <v>72.16</v>
      </c>
      <c r="D222" s="16" t="s">
        <v>27</v>
      </c>
      <c r="E222" s="4" t="s">
        <v>344</v>
      </c>
    </row>
    <row r="223" spans="1:5" ht="12.75">
      <c r="A223" s="10" t="s">
        <v>228</v>
      </c>
      <c r="B223" s="13" t="s">
        <v>225</v>
      </c>
      <c r="C223" s="12">
        <v>50</v>
      </c>
      <c r="D223" s="64" t="s">
        <v>27</v>
      </c>
      <c r="E223" s="80" t="s">
        <v>313</v>
      </c>
    </row>
    <row r="224" spans="1:5" ht="12.75">
      <c r="A224" s="10" t="s">
        <v>128</v>
      </c>
      <c r="B224" s="11" t="s">
        <v>127</v>
      </c>
      <c r="C224" s="12">
        <f>600/12</f>
        <v>50</v>
      </c>
      <c r="D224" s="64" t="s">
        <v>27</v>
      </c>
      <c r="E224" s="80" t="s">
        <v>129</v>
      </c>
    </row>
    <row r="225" spans="1:5" ht="12.75">
      <c r="A225" s="10" t="s">
        <v>314</v>
      </c>
      <c r="B225" s="10" t="s">
        <v>240</v>
      </c>
      <c r="C225" s="12">
        <f>3227.44/5/12</f>
        <v>53.790666666666674</v>
      </c>
      <c r="D225" s="11" t="s">
        <v>27</v>
      </c>
      <c r="E225" s="11" t="s">
        <v>241</v>
      </c>
    </row>
    <row r="226" spans="1:6" ht="12.75">
      <c r="A226" s="13" t="s">
        <v>215</v>
      </c>
      <c r="B226" s="10" t="s">
        <v>216</v>
      </c>
      <c r="C226" s="12">
        <f>50000/10/12</f>
        <v>416.6666666666667</v>
      </c>
      <c r="D226" s="11" t="s">
        <v>27</v>
      </c>
      <c r="E226" s="10" t="s">
        <v>101</v>
      </c>
      <c r="F226" s="139">
        <f>SUM(C226:C229)</f>
        <v>825</v>
      </c>
    </row>
    <row r="227" spans="1:6" ht="12.75">
      <c r="A227" s="24" t="s">
        <v>38</v>
      </c>
      <c r="B227" s="24" t="s">
        <v>90</v>
      </c>
      <c r="C227" s="26">
        <f>2000/5/12</f>
        <v>33.333333333333336</v>
      </c>
      <c r="D227" s="25" t="s">
        <v>27</v>
      </c>
      <c r="E227" s="24" t="s">
        <v>77</v>
      </c>
      <c r="F227" s="140"/>
    </row>
    <row r="228" spans="1:6" ht="12.75">
      <c r="A228" s="17" t="s">
        <v>38</v>
      </c>
      <c r="B228" s="17" t="s">
        <v>100</v>
      </c>
      <c r="C228" s="26">
        <v>125</v>
      </c>
      <c r="D228" s="25" t="s">
        <v>27</v>
      </c>
      <c r="E228" s="24" t="s">
        <v>101</v>
      </c>
      <c r="F228" s="140"/>
    </row>
    <row r="229" spans="1:6" ht="12.75">
      <c r="A229" s="35" t="s">
        <v>38</v>
      </c>
      <c r="B229" s="35" t="s">
        <v>114</v>
      </c>
      <c r="C229" s="36">
        <f>15000/5/12</f>
        <v>250</v>
      </c>
      <c r="D229" s="37" t="s">
        <v>27</v>
      </c>
      <c r="E229" s="35" t="s">
        <v>77</v>
      </c>
      <c r="F229" s="140"/>
    </row>
    <row r="230" spans="1:5" ht="12.75">
      <c r="A230" s="10" t="s">
        <v>346</v>
      </c>
      <c r="B230" s="11" t="s">
        <v>357</v>
      </c>
      <c r="C230" s="12">
        <v>3000</v>
      </c>
      <c r="D230" s="11" t="s">
        <v>74</v>
      </c>
      <c r="E230" s="10" t="s">
        <v>347</v>
      </c>
    </row>
    <row r="231" spans="1:5" ht="12.75">
      <c r="A231" s="7" t="s">
        <v>41</v>
      </c>
      <c r="B231" s="17" t="s">
        <v>61</v>
      </c>
      <c r="C231" s="26">
        <v>40</v>
      </c>
      <c r="D231" s="16" t="s">
        <v>253</v>
      </c>
      <c r="E231" s="27" t="s">
        <v>251</v>
      </c>
    </row>
    <row r="232" spans="1:5" ht="12.75">
      <c r="A232" s="4" t="s">
        <v>66</v>
      </c>
      <c r="B232" s="17" t="s">
        <v>65</v>
      </c>
      <c r="C232" s="9">
        <v>40</v>
      </c>
      <c r="D232" s="16" t="s">
        <v>74</v>
      </c>
      <c r="E232" s="42" t="s">
        <v>348</v>
      </c>
    </row>
    <row r="235" ht="12.75">
      <c r="A235" s="8">
        <v>37316</v>
      </c>
    </row>
    <row r="236" spans="1:5" ht="12.75">
      <c r="A236" s="4" t="s">
        <v>150</v>
      </c>
      <c r="B236" s="42" t="s">
        <v>349</v>
      </c>
      <c r="C236" s="9">
        <v>300</v>
      </c>
      <c r="D236" s="16" t="s">
        <v>27</v>
      </c>
      <c r="E236" s="17" t="s">
        <v>351</v>
      </c>
    </row>
    <row r="237" spans="1:5" ht="12.75">
      <c r="A237" s="10" t="s">
        <v>147</v>
      </c>
      <c r="B237" s="10" t="s">
        <v>149</v>
      </c>
      <c r="C237" s="12">
        <v>300</v>
      </c>
      <c r="D237" s="11" t="s">
        <v>27</v>
      </c>
      <c r="E237" s="13" t="s">
        <v>252</v>
      </c>
    </row>
    <row r="238" spans="1:5" ht="12.75">
      <c r="A238" s="4" t="s">
        <v>150</v>
      </c>
      <c r="B238" s="42" t="s">
        <v>148</v>
      </c>
      <c r="C238" s="9">
        <v>300</v>
      </c>
      <c r="D238" s="16" t="s">
        <v>27</v>
      </c>
      <c r="E238" s="42" t="s">
        <v>352</v>
      </c>
    </row>
    <row r="239" spans="1:5" ht="12.75">
      <c r="A239" s="11" t="s">
        <v>245</v>
      </c>
      <c r="B239" s="11" t="s">
        <v>244</v>
      </c>
      <c r="C239" s="12">
        <f>80*18</f>
        <v>1440</v>
      </c>
      <c r="D239" s="11" t="s">
        <v>253</v>
      </c>
      <c r="E239" s="11" t="s">
        <v>254</v>
      </c>
    </row>
    <row r="240" spans="1:5" ht="12.75">
      <c r="A240" t="s">
        <v>255</v>
      </c>
      <c r="B240" s="4" t="s">
        <v>353</v>
      </c>
      <c r="C240" s="26">
        <v>1440</v>
      </c>
      <c r="D240" s="16" t="s">
        <v>27</v>
      </c>
      <c r="E240" s="25" t="s">
        <v>305</v>
      </c>
    </row>
    <row r="241" spans="1:5" ht="12.75">
      <c r="A241" t="s">
        <v>255</v>
      </c>
      <c r="B241" s="4" t="s">
        <v>336</v>
      </c>
      <c r="C241" s="26">
        <f>250*18</f>
        <v>4500</v>
      </c>
      <c r="D241" s="16" t="s">
        <v>27</v>
      </c>
      <c r="E241" s="17" t="s">
        <v>52</v>
      </c>
    </row>
    <row r="242" spans="1:5" ht="12.75">
      <c r="A242" t="s">
        <v>255</v>
      </c>
      <c r="B242" s="4" t="s">
        <v>323</v>
      </c>
      <c r="C242" s="9">
        <v>3200</v>
      </c>
      <c r="D242" t="s">
        <v>27</v>
      </c>
      <c r="E242" t="s">
        <v>325</v>
      </c>
    </row>
    <row r="243" spans="1:5" ht="12.75">
      <c r="A243" s="11" t="s">
        <v>245</v>
      </c>
      <c r="B243" s="10" t="s">
        <v>259</v>
      </c>
      <c r="C243" s="12">
        <v>1100</v>
      </c>
      <c r="D243" s="11" t="s">
        <v>253</v>
      </c>
      <c r="E243" s="11" t="s">
        <v>254</v>
      </c>
    </row>
    <row r="244" spans="1:5" ht="12.75">
      <c r="A244" t="s">
        <v>255</v>
      </c>
      <c r="B244" s="4" t="s">
        <v>354</v>
      </c>
      <c r="C244" s="9">
        <v>1100</v>
      </c>
      <c r="D244" t="s">
        <v>27</v>
      </c>
      <c r="E244" s="16" t="s">
        <v>305</v>
      </c>
    </row>
    <row r="245" spans="1:5" ht="12.75">
      <c r="A245" t="s">
        <v>255</v>
      </c>
      <c r="B245" s="4" t="s">
        <v>337</v>
      </c>
      <c r="C245" s="9">
        <v>1000</v>
      </c>
      <c r="D245" t="s">
        <v>27</v>
      </c>
      <c r="E245" s="16" t="s">
        <v>52</v>
      </c>
    </row>
    <row r="246" spans="1:5" ht="12.75">
      <c r="A246" t="s">
        <v>255</v>
      </c>
      <c r="B246" s="4" t="s">
        <v>326</v>
      </c>
      <c r="C246" s="9">
        <v>3000</v>
      </c>
      <c r="D246" t="s">
        <v>27</v>
      </c>
      <c r="E246" t="s">
        <v>325</v>
      </c>
    </row>
    <row r="247" spans="1:5" ht="12.75">
      <c r="A247" s="80" t="s">
        <v>274</v>
      </c>
      <c r="B247" s="13" t="s">
        <v>265</v>
      </c>
      <c r="C247" s="12">
        <v>800</v>
      </c>
      <c r="D247" s="11" t="s">
        <v>27</v>
      </c>
      <c r="E247" s="11" t="s">
        <v>275</v>
      </c>
    </row>
    <row r="248" spans="1:5" ht="12.75">
      <c r="A248" s="16" t="s">
        <v>276</v>
      </c>
      <c r="B248" s="4" t="s">
        <v>327</v>
      </c>
      <c r="C248" s="9">
        <v>1000</v>
      </c>
      <c r="D248" s="16" t="s">
        <v>27</v>
      </c>
      <c r="E248" s="16" t="s">
        <v>275</v>
      </c>
    </row>
    <row r="249" spans="1:5" ht="12.75">
      <c r="A249" s="80" t="s">
        <v>280</v>
      </c>
      <c r="B249" s="10" t="s">
        <v>281</v>
      </c>
      <c r="C249" s="12">
        <v>413.33</v>
      </c>
      <c r="D249" s="11" t="s">
        <v>27</v>
      </c>
      <c r="E249" s="11" t="s">
        <v>283</v>
      </c>
    </row>
    <row r="250" spans="1:5" ht="12.75">
      <c r="A250" t="s">
        <v>280</v>
      </c>
      <c r="B250" s="4" t="s">
        <v>282</v>
      </c>
      <c r="C250" s="9">
        <v>844.64</v>
      </c>
      <c r="D250" s="16" t="s">
        <v>27</v>
      </c>
      <c r="E250" s="16" t="s">
        <v>283</v>
      </c>
    </row>
    <row r="251" ht="12.75">
      <c r="A251" s="63" t="s">
        <v>217</v>
      </c>
    </row>
    <row r="252" spans="1:5" ht="12.75">
      <c r="A252" s="10" t="s">
        <v>346</v>
      </c>
      <c r="B252" s="10" t="s">
        <v>358</v>
      </c>
      <c r="C252" s="12">
        <v>3000</v>
      </c>
      <c r="D252" s="11" t="s">
        <v>74</v>
      </c>
      <c r="E252" s="13" t="s">
        <v>325</v>
      </c>
    </row>
    <row r="253" spans="1:5" ht="12.75">
      <c r="A253" s="4" t="s">
        <v>66</v>
      </c>
      <c r="B253" s="17" t="s">
        <v>65</v>
      </c>
      <c r="C253" s="9">
        <v>40</v>
      </c>
      <c r="D253" s="16" t="s">
        <v>74</v>
      </c>
      <c r="E253" s="42" t="s">
        <v>348</v>
      </c>
    </row>
    <row r="254" spans="1:6" ht="12.75">
      <c r="A254" s="13" t="s">
        <v>294</v>
      </c>
      <c r="B254" s="13" t="s">
        <v>291</v>
      </c>
      <c r="C254" s="83">
        <v>1447.1333333333332</v>
      </c>
      <c r="D254" s="11" t="s">
        <v>27</v>
      </c>
      <c r="E254" s="11"/>
      <c r="F254" s="138" t="s">
        <v>195</v>
      </c>
    </row>
    <row r="255" spans="1:6" ht="12.75">
      <c r="A255" s="24" t="s">
        <v>295</v>
      </c>
      <c r="B255" s="27" t="s">
        <v>292</v>
      </c>
      <c r="C255" s="84">
        <v>1027.4416666666668</v>
      </c>
      <c r="D255" s="16" t="s">
        <v>27</v>
      </c>
      <c r="E255" s="42" t="s">
        <v>367</v>
      </c>
      <c r="F255" s="138"/>
    </row>
    <row r="256" spans="1:6" ht="12.75">
      <c r="A256" s="24" t="s">
        <v>293</v>
      </c>
      <c r="B256" s="27" t="s">
        <v>297</v>
      </c>
      <c r="C256" s="84">
        <v>2299.075</v>
      </c>
      <c r="D256" s="16" t="s">
        <v>27</v>
      </c>
      <c r="E256" s="25"/>
      <c r="F256" s="138"/>
    </row>
    <row r="257" spans="1:6" ht="12.75">
      <c r="A257" s="27" t="s">
        <v>301</v>
      </c>
      <c r="B257" s="27" t="s">
        <v>298</v>
      </c>
      <c r="C257" s="84">
        <v>175.5</v>
      </c>
      <c r="D257" s="16" t="s">
        <v>27</v>
      </c>
      <c r="E257" s="25"/>
      <c r="F257" s="138"/>
    </row>
    <row r="258" spans="1:6" ht="12.75">
      <c r="A258" s="24" t="s">
        <v>302</v>
      </c>
      <c r="B258" s="27" t="s">
        <v>299</v>
      </c>
      <c r="C258" s="84">
        <v>0</v>
      </c>
      <c r="D258" s="16" t="s">
        <v>27</v>
      </c>
      <c r="E258" s="25"/>
      <c r="F258" s="138"/>
    </row>
    <row r="259" spans="1:6" ht="12.75">
      <c r="A259" s="27" t="s">
        <v>301</v>
      </c>
      <c r="B259" s="27" t="s">
        <v>179</v>
      </c>
      <c r="C259" s="84">
        <v>249.075</v>
      </c>
      <c r="D259" s="16" t="s">
        <v>27</v>
      </c>
      <c r="E259" s="25"/>
      <c r="F259" s="138"/>
    </row>
    <row r="260" spans="1:6" ht="12.75">
      <c r="A260" s="24" t="s">
        <v>302</v>
      </c>
      <c r="B260" s="27" t="s">
        <v>300</v>
      </c>
      <c r="C260" s="84">
        <v>-249.075</v>
      </c>
      <c r="D260" s="16" t="s">
        <v>27</v>
      </c>
      <c r="E260" s="25"/>
      <c r="F260" s="138"/>
    </row>
    <row r="261" spans="1:5" ht="12.75">
      <c r="A261" s="13" t="s">
        <v>36</v>
      </c>
      <c r="B261" s="64" t="s">
        <v>9</v>
      </c>
      <c r="C261" s="12">
        <v>200</v>
      </c>
      <c r="D261" s="64" t="s">
        <v>27</v>
      </c>
      <c r="E261" s="64" t="s">
        <v>35</v>
      </c>
    </row>
    <row r="262" spans="1:5" ht="12.75">
      <c r="A262" s="24" t="s">
        <v>39</v>
      </c>
      <c r="B262" s="25" t="s">
        <v>9</v>
      </c>
      <c r="C262" s="26">
        <v>200</v>
      </c>
      <c r="D262" s="25" t="s">
        <v>27</v>
      </c>
      <c r="E262" s="25" t="s">
        <v>29</v>
      </c>
    </row>
    <row r="263" spans="1:5" ht="12.75">
      <c r="A263" s="10" t="s">
        <v>37</v>
      </c>
      <c r="B263" s="11" t="s">
        <v>28</v>
      </c>
      <c r="C263" s="12">
        <v>200</v>
      </c>
      <c r="D263" s="11" t="s">
        <v>27</v>
      </c>
      <c r="E263" s="80" t="s">
        <v>313</v>
      </c>
    </row>
    <row r="264" spans="1:5" ht="12.75">
      <c r="A264" s="13" t="s">
        <v>41</v>
      </c>
      <c r="B264" s="10" t="s">
        <v>219</v>
      </c>
      <c r="C264" s="12">
        <f>C265/12</f>
        <v>312.5</v>
      </c>
      <c r="D264" s="13" t="s">
        <v>27</v>
      </c>
      <c r="E264" s="65" t="s">
        <v>130</v>
      </c>
    </row>
    <row r="265" spans="1:5" ht="12.75">
      <c r="A265" s="4" t="s">
        <v>66</v>
      </c>
      <c r="B265" s="4" t="s">
        <v>65</v>
      </c>
      <c r="C265" s="9">
        <v>3750</v>
      </c>
      <c r="D265" s="16" t="s">
        <v>34</v>
      </c>
      <c r="E265" s="42" t="s">
        <v>220</v>
      </c>
    </row>
    <row r="266" spans="1:5" ht="12.75">
      <c r="A266" s="10" t="s">
        <v>111</v>
      </c>
      <c r="B266" s="10" t="s">
        <v>112</v>
      </c>
      <c r="C266" s="12">
        <v>821.18</v>
      </c>
      <c r="D266" s="11" t="s">
        <v>27</v>
      </c>
      <c r="E266" s="10" t="s">
        <v>348</v>
      </c>
    </row>
    <row r="267" spans="1:5" ht="12.75">
      <c r="A267" s="7" t="s">
        <v>41</v>
      </c>
      <c r="B267" s="17" t="s">
        <v>61</v>
      </c>
      <c r="C267" s="9">
        <v>56.65</v>
      </c>
      <c r="D267" s="16" t="s">
        <v>27</v>
      </c>
      <c r="E267" s="4" t="s">
        <v>343</v>
      </c>
    </row>
    <row r="268" spans="1:5" ht="12.75">
      <c r="A268" s="4" t="s">
        <v>66</v>
      </c>
      <c r="B268" s="17" t="s">
        <v>65</v>
      </c>
      <c r="C268" s="9">
        <v>64.45</v>
      </c>
      <c r="D268" s="16" t="s">
        <v>27</v>
      </c>
      <c r="E268" s="4" t="s">
        <v>344</v>
      </c>
    </row>
    <row r="269" spans="1:5" ht="12.75">
      <c r="A269" s="10" t="s">
        <v>228</v>
      </c>
      <c r="B269" s="13" t="s">
        <v>225</v>
      </c>
      <c r="C269" s="12">
        <v>50</v>
      </c>
      <c r="D269" s="64" t="s">
        <v>27</v>
      </c>
      <c r="E269" s="80" t="s">
        <v>313</v>
      </c>
    </row>
    <row r="270" spans="1:5" ht="12.75">
      <c r="A270" s="10" t="s">
        <v>128</v>
      </c>
      <c r="B270" s="11" t="s">
        <v>127</v>
      </c>
      <c r="C270" s="12">
        <f>600/12</f>
        <v>50</v>
      </c>
      <c r="D270" s="64" t="s">
        <v>27</v>
      </c>
      <c r="E270" s="80" t="s">
        <v>129</v>
      </c>
    </row>
    <row r="271" spans="1:5" ht="12.75">
      <c r="A271" s="10" t="s">
        <v>314</v>
      </c>
      <c r="B271" s="10" t="s">
        <v>240</v>
      </c>
      <c r="C271" s="12">
        <f>3227.44/5/12</f>
        <v>53.790666666666674</v>
      </c>
      <c r="D271" s="11" t="s">
        <v>27</v>
      </c>
      <c r="E271" s="11" t="s">
        <v>241</v>
      </c>
    </row>
    <row r="272" spans="1:6" ht="12.75">
      <c r="A272" s="13" t="s">
        <v>215</v>
      </c>
      <c r="B272" s="10" t="s">
        <v>216</v>
      </c>
      <c r="C272" s="12">
        <f>50000/10/12</f>
        <v>416.6666666666667</v>
      </c>
      <c r="D272" s="11" t="s">
        <v>27</v>
      </c>
      <c r="E272" s="10" t="s">
        <v>101</v>
      </c>
      <c r="F272" s="139">
        <f>SUM(C272:C275)</f>
        <v>825</v>
      </c>
    </row>
    <row r="273" spans="1:6" ht="12.75">
      <c r="A273" s="24" t="s">
        <v>38</v>
      </c>
      <c r="B273" s="24" t="s">
        <v>90</v>
      </c>
      <c r="C273" s="26">
        <f>2000/5/12</f>
        <v>33.333333333333336</v>
      </c>
      <c r="D273" s="25" t="s">
        <v>27</v>
      </c>
      <c r="E273" s="24" t="s">
        <v>77</v>
      </c>
      <c r="F273" s="140"/>
    </row>
    <row r="274" spans="1:6" ht="12.75">
      <c r="A274" s="17" t="s">
        <v>38</v>
      </c>
      <c r="B274" s="17" t="s">
        <v>100</v>
      </c>
      <c r="C274" s="26">
        <v>125</v>
      </c>
      <c r="D274" s="25" t="s">
        <v>27</v>
      </c>
      <c r="E274" s="24" t="s">
        <v>101</v>
      </c>
      <c r="F274" s="140"/>
    </row>
    <row r="275" spans="1:6" ht="12.75">
      <c r="A275" s="35" t="s">
        <v>38</v>
      </c>
      <c r="B275" s="35" t="s">
        <v>114</v>
      </c>
      <c r="C275" s="36">
        <f>15000/5/12</f>
        <v>250</v>
      </c>
      <c r="D275" s="37" t="s">
        <v>27</v>
      </c>
      <c r="E275" s="35" t="s">
        <v>77</v>
      </c>
      <c r="F275" s="140"/>
    </row>
    <row r="276" spans="1:5" ht="12.75">
      <c r="A276" s="10"/>
      <c r="B276" s="11"/>
      <c r="C276" s="12"/>
      <c r="D276" s="11"/>
      <c r="E276" s="10"/>
    </row>
    <row r="277" spans="1:5" ht="12.75">
      <c r="A277" s="13" t="s">
        <v>359</v>
      </c>
      <c r="B277" s="80" t="s">
        <v>361</v>
      </c>
      <c r="C277" s="12">
        <v>9553.1</v>
      </c>
      <c r="D277" s="64" t="s">
        <v>371</v>
      </c>
      <c r="E277" s="13" t="s">
        <v>369</v>
      </c>
    </row>
    <row r="278" spans="1:5" ht="12.75">
      <c r="A278" s="7" t="s">
        <v>360</v>
      </c>
      <c r="B278" s="42" t="s">
        <v>364</v>
      </c>
      <c r="C278" s="9">
        <v>16000</v>
      </c>
      <c r="D278" s="16" t="s">
        <v>371</v>
      </c>
      <c r="E278" s="42"/>
    </row>
    <row r="279" spans="1:5" ht="12.75">
      <c r="A279" s="13" t="s">
        <v>359</v>
      </c>
      <c r="B279" s="80" t="s">
        <v>362</v>
      </c>
      <c r="C279" s="12">
        <v>16884.08</v>
      </c>
      <c r="D279" s="11" t="s">
        <v>371</v>
      </c>
      <c r="E279" s="10" t="s">
        <v>370</v>
      </c>
    </row>
    <row r="280" spans="1:5" ht="12.75">
      <c r="A280" s="24" t="s">
        <v>365</v>
      </c>
      <c r="B280" s="42" t="s">
        <v>363</v>
      </c>
      <c r="C280" s="26">
        <v>25200</v>
      </c>
      <c r="D280" s="16" t="s">
        <v>371</v>
      </c>
      <c r="E280" s="25"/>
    </row>
    <row r="282" spans="1:5" ht="12.75">
      <c r="A282" s="11" t="s">
        <v>261</v>
      </c>
      <c r="B282" s="10" t="s">
        <v>366</v>
      </c>
      <c r="C282" s="12">
        <f>700*1.4</f>
        <v>979.9999999999999</v>
      </c>
      <c r="D282" s="11" t="s">
        <v>253</v>
      </c>
      <c r="E282" s="11" t="s">
        <v>372</v>
      </c>
    </row>
    <row r="283" spans="1:5" ht="12.75">
      <c r="A283" s="11" t="s">
        <v>280</v>
      </c>
      <c r="B283" s="10" t="s">
        <v>355</v>
      </c>
      <c r="C283" s="12">
        <v>251.6</v>
      </c>
      <c r="D283" s="11" t="s">
        <v>27</v>
      </c>
      <c r="E283" s="11" t="s">
        <v>372</v>
      </c>
    </row>
    <row r="284" spans="1:5" ht="12.75">
      <c r="A284" s="10" t="s">
        <v>368</v>
      </c>
      <c r="B284" s="13" t="s">
        <v>292</v>
      </c>
      <c r="C284" s="83">
        <v>215.76</v>
      </c>
      <c r="D284" s="64" t="s">
        <v>27</v>
      </c>
      <c r="E284" s="10" t="s">
        <v>373</v>
      </c>
    </row>
    <row r="285" spans="1:5" ht="12.75">
      <c r="A285" s="80" t="s">
        <v>295</v>
      </c>
      <c r="B285" s="13" t="s">
        <v>265</v>
      </c>
      <c r="C285" s="12">
        <v>378</v>
      </c>
      <c r="D285" s="11" t="s">
        <v>27</v>
      </c>
      <c r="E285" s="10" t="s">
        <v>373</v>
      </c>
    </row>
    <row r="286" spans="1:5" ht="12.75">
      <c r="A286" s="16"/>
      <c r="B286" s="4"/>
      <c r="D286" s="16"/>
      <c r="E286" s="16"/>
    </row>
  </sheetData>
  <mergeCells count="11">
    <mergeCell ref="F208:F214"/>
    <mergeCell ref="F254:F260"/>
    <mergeCell ref="F272:F275"/>
    <mergeCell ref="F12:F20"/>
    <mergeCell ref="F46:F54"/>
    <mergeCell ref="F55:F63"/>
    <mergeCell ref="F116:F122"/>
    <mergeCell ref="F226:F229"/>
    <mergeCell ref="F135:F138"/>
    <mergeCell ref="F161:F167"/>
    <mergeCell ref="F179:F182"/>
  </mergeCells>
  <printOptions/>
  <pageMargins left="0.75" right="0.75" top="1" bottom="1" header="0.5" footer="0.5"/>
  <pageSetup fitToHeight="0" fitToWidth="1" horizontalDpi="300" verticalDpi="3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workbookViewId="0" topLeftCell="A1">
      <selection activeCell="A1" sqref="A1"/>
    </sheetView>
  </sheetViews>
  <sheetFormatPr defaultColWidth="9.140625" defaultRowHeight="12.75"/>
  <cols>
    <col min="1" max="2" width="1.7109375" style="2" customWidth="1"/>
    <col min="3" max="3" width="1.7109375" style="0" customWidth="1"/>
    <col min="4" max="4" width="10.140625" style="3" customWidth="1"/>
    <col min="5" max="5" width="11.28125" style="3" bestFit="1" customWidth="1"/>
    <col min="6" max="6" width="11.8515625" style="34" bestFit="1" customWidth="1"/>
    <col min="7" max="8" width="1.7109375" style="2" customWidth="1"/>
    <col min="9" max="9" width="1.7109375" style="32" customWidth="1"/>
    <col min="10" max="10" width="24.57421875" style="3" customWidth="1"/>
    <col min="11" max="11" width="11.28125" style="34" bestFit="1" customWidth="1"/>
    <col min="12" max="12" width="10.28125" style="0" bestFit="1" customWidth="1"/>
    <col min="13" max="13" width="10.421875" style="0" customWidth="1"/>
    <col min="14" max="14" width="10.140625" style="0" customWidth="1"/>
    <col min="16" max="16" width="4.7109375" style="0" customWidth="1"/>
    <col min="17" max="17" width="28.7109375" style="0" customWidth="1"/>
    <col min="18" max="19" width="12.7109375" style="0" customWidth="1"/>
  </cols>
  <sheetData>
    <row r="1" spans="1:19" ht="12.75">
      <c r="A1" s="2" t="s">
        <v>24</v>
      </c>
      <c r="P1" s="2" t="s">
        <v>24</v>
      </c>
      <c r="Q1" s="2"/>
      <c r="S1" s="3"/>
    </row>
    <row r="2" spans="1:19" ht="12.75">
      <c r="A2" s="2" t="s">
        <v>25</v>
      </c>
      <c r="P2" s="113" t="s">
        <v>377</v>
      </c>
      <c r="Q2" s="2"/>
      <c r="S2" s="3"/>
    </row>
    <row r="3" spans="1:17" ht="12.75">
      <c r="A3" s="2" t="s">
        <v>26</v>
      </c>
      <c r="D3" s="6">
        <v>37346</v>
      </c>
      <c r="E3" s="6"/>
      <c r="P3" s="2" t="s">
        <v>26</v>
      </c>
      <c r="Q3" s="6">
        <f>D3</f>
        <v>37346</v>
      </c>
    </row>
    <row r="4" spans="18:19" ht="12.75">
      <c r="R4" s="68" t="s">
        <v>204</v>
      </c>
      <c r="S4" s="68" t="s">
        <v>380</v>
      </c>
    </row>
    <row r="5" spans="1:19" ht="12.75">
      <c r="A5" s="2" t="s">
        <v>7</v>
      </c>
      <c r="G5" s="5" t="s">
        <v>15</v>
      </c>
      <c r="H5" s="5"/>
      <c r="J5" s="29"/>
      <c r="P5" s="2" t="s">
        <v>79</v>
      </c>
      <c r="R5" s="34"/>
      <c r="S5" s="34"/>
    </row>
    <row r="6" spans="2:19" ht="12.75">
      <c r="B6" s="2" t="s">
        <v>0</v>
      </c>
      <c r="G6" s="5"/>
      <c r="H6" s="5" t="s">
        <v>4</v>
      </c>
      <c r="J6" s="29"/>
      <c r="Q6" t="s">
        <v>378</v>
      </c>
      <c r="R6" s="34">
        <f>L30</f>
        <v>41200</v>
      </c>
      <c r="S6" s="34">
        <f>K30</f>
        <v>41200</v>
      </c>
    </row>
    <row r="7" spans="3:19" ht="12.75">
      <c r="C7" t="s">
        <v>1</v>
      </c>
      <c r="G7" s="5"/>
      <c r="H7" s="5"/>
      <c r="I7" s="33" t="s">
        <v>23</v>
      </c>
      <c r="J7" s="30"/>
      <c r="K7" s="34">
        <f>Feb02!K7-200-50</f>
        <v>250</v>
      </c>
      <c r="Q7" s="114" t="s">
        <v>163</v>
      </c>
      <c r="R7" s="60">
        <f>SUM(R6)</f>
        <v>41200</v>
      </c>
      <c r="S7" s="60">
        <f>SUM(S6)</f>
        <v>41200</v>
      </c>
    </row>
    <row r="8" spans="4:19" ht="12.75">
      <c r="D8" s="3" t="s">
        <v>2</v>
      </c>
      <c r="F8" s="34">
        <f>Feb02!F8</f>
        <v>1000</v>
      </c>
      <c r="G8" s="5"/>
      <c r="H8" s="5"/>
      <c r="I8" s="32" t="s">
        <v>102</v>
      </c>
      <c r="J8" s="29"/>
      <c r="K8" s="34">
        <f>Feb02!K8-3000-821.18</f>
        <v>5970.580000000002</v>
      </c>
      <c r="R8" s="34"/>
      <c r="S8" s="34"/>
    </row>
    <row r="9" spans="4:19" ht="12.75">
      <c r="D9" s="3" t="s">
        <v>3</v>
      </c>
      <c r="F9" s="34">
        <f>Feb02!F9-300-3200-3000-800-3000-40-2299.07-200-200-821.18-64.45-50+16000-980</f>
        <v>1140.4500000000007</v>
      </c>
      <c r="G9" s="5"/>
      <c r="H9" s="5"/>
      <c r="I9" s="33" t="s">
        <v>22</v>
      </c>
      <c r="J9" s="30"/>
      <c r="K9" s="34">
        <f>Feb02!K9+1440-3200+1100-3000</f>
        <v>8040</v>
      </c>
      <c r="P9" s="113" t="s">
        <v>379</v>
      </c>
      <c r="R9" s="34"/>
      <c r="S9" s="34"/>
    </row>
    <row r="10" spans="3:19" ht="12.75">
      <c r="C10" s="4" t="s">
        <v>140</v>
      </c>
      <c r="F10" s="34">
        <f>Feb02!F10</f>
        <v>0</v>
      </c>
      <c r="G10" s="5"/>
      <c r="H10" s="5"/>
      <c r="I10" s="32" t="s">
        <v>69</v>
      </c>
      <c r="J10" s="31"/>
      <c r="K10" s="34">
        <f>Feb02!K10</f>
        <v>3708</v>
      </c>
      <c r="Q10" t="s">
        <v>120</v>
      </c>
      <c r="R10" s="34">
        <f>-L32</f>
        <v>3450</v>
      </c>
      <c r="S10" s="34">
        <f>-K32</f>
        <v>3450</v>
      </c>
    </row>
    <row r="11" spans="3:19" ht="12.75">
      <c r="C11" s="4" t="s">
        <v>123</v>
      </c>
      <c r="F11" s="34">
        <f>Feb02!F11+25200</f>
        <v>25200</v>
      </c>
      <c r="G11" s="5"/>
      <c r="H11" s="5"/>
      <c r="I11" s="32" t="s">
        <v>91</v>
      </c>
      <c r="Q11" t="s">
        <v>121</v>
      </c>
      <c r="R11" s="34">
        <f>-L33</f>
        <v>9621.15</v>
      </c>
      <c r="S11" s="34">
        <f>-K33</f>
        <v>9621.15</v>
      </c>
    </row>
    <row r="12" spans="3:19" ht="12.75">
      <c r="C12" s="4" t="s">
        <v>8</v>
      </c>
      <c r="G12" s="5"/>
      <c r="H12" s="5"/>
      <c r="J12" s="3" t="s">
        <v>92</v>
      </c>
      <c r="K12" s="34">
        <f>Feb02!K12+175.5</f>
        <v>707.34</v>
      </c>
      <c r="Q12" t="s">
        <v>122</v>
      </c>
      <c r="R12" s="34">
        <f>-L34</f>
        <v>3894.03</v>
      </c>
      <c r="S12" s="34">
        <f>-K34</f>
        <v>3894.03</v>
      </c>
    </row>
    <row r="13" spans="4:19" ht="12.75">
      <c r="D13" s="3" t="s">
        <v>9</v>
      </c>
      <c r="F13" s="34">
        <f>Feb02!F13+200-200</f>
        <v>0</v>
      </c>
      <c r="G13" s="5"/>
      <c r="H13" s="5"/>
      <c r="J13" s="112" t="s">
        <v>93</v>
      </c>
      <c r="K13" s="34">
        <f>Feb02!K13-249.08+249.08</f>
        <v>249.07999999999996</v>
      </c>
      <c r="Q13" t="s">
        <v>131</v>
      </c>
      <c r="R13" s="34">
        <f>-L35</f>
        <v>9472</v>
      </c>
      <c r="S13" s="34">
        <f>-K35</f>
        <v>9472</v>
      </c>
    </row>
    <row r="14" spans="4:19" ht="12.75">
      <c r="D14" s="3" t="s">
        <v>126</v>
      </c>
      <c r="F14" s="34">
        <f>Feb02!F14-50</f>
        <v>300</v>
      </c>
      <c r="J14" s="3" t="s">
        <v>96</v>
      </c>
      <c r="K14" s="34">
        <f>Feb02!K14-40+312.5-64.45+56.65</f>
        <v>1931.65</v>
      </c>
      <c r="Q14" s="114" t="s">
        <v>163</v>
      </c>
      <c r="R14" s="60">
        <f>SUM(R10:R13)</f>
        <v>26437.18</v>
      </c>
      <c r="S14" s="60">
        <f>SUM(S10:S13)</f>
        <v>26437.18</v>
      </c>
    </row>
    <row r="15" spans="3:19" ht="12.75">
      <c r="C15" t="s">
        <v>10</v>
      </c>
      <c r="J15" s="3" t="s">
        <v>70</v>
      </c>
      <c r="K15" s="34">
        <f>Feb02!K15-300+300</f>
        <v>300</v>
      </c>
      <c r="R15" s="34"/>
      <c r="S15" s="34"/>
    </row>
    <row r="16" spans="4:19" ht="13.5" thickBot="1">
      <c r="D16" s="3" t="s">
        <v>115</v>
      </c>
      <c r="F16" s="34">
        <f>Feb02!F16+1440+1100-1000-413.33-844.64-251.6</f>
        <v>2217.25</v>
      </c>
      <c r="P16" s="115" t="s">
        <v>356</v>
      </c>
      <c r="R16" s="116">
        <f>R7-R14</f>
        <v>14762.82</v>
      </c>
      <c r="S16" s="116">
        <f>S7-S14</f>
        <v>14762.82</v>
      </c>
    </row>
    <row r="17" spans="4:19" ht="13.5" thickTop="1">
      <c r="D17" s="3" t="s">
        <v>116</v>
      </c>
      <c r="F17" s="34">
        <f>Feb02!F17</f>
        <v>0</v>
      </c>
      <c r="H17" s="2" t="s">
        <v>56</v>
      </c>
      <c r="R17" s="34"/>
      <c r="S17" s="34"/>
    </row>
    <row r="18" spans="4:19" ht="12.75">
      <c r="D18" s="3" t="s">
        <v>117</v>
      </c>
      <c r="I18" s="32" t="s">
        <v>57</v>
      </c>
      <c r="P18" s="2" t="s">
        <v>381</v>
      </c>
      <c r="R18" s="34"/>
      <c r="S18" s="34"/>
    </row>
    <row r="19" spans="5:19" ht="12.75">
      <c r="E19" s="3" t="s">
        <v>120</v>
      </c>
      <c r="F19" s="34">
        <f>Feb02!F19-1200+980</f>
        <v>980</v>
      </c>
      <c r="J19" s="3" t="s">
        <v>58</v>
      </c>
      <c r="K19" s="34">
        <f>Feb02!K19</f>
        <v>21292</v>
      </c>
      <c r="Q19" t="s">
        <v>385</v>
      </c>
      <c r="R19" s="34">
        <v>0</v>
      </c>
      <c r="S19" s="34">
        <v>0</v>
      </c>
    </row>
    <row r="20" spans="5:19" ht="12.75">
      <c r="E20" s="3" t="s">
        <v>121</v>
      </c>
      <c r="F20" s="34">
        <f>Feb02!F20+413.33-3362.95+251.6</f>
        <v>251.6</v>
      </c>
      <c r="J20" s="40" t="s">
        <v>153</v>
      </c>
      <c r="K20" s="34">
        <f>Feb02!K20</f>
        <v>0</v>
      </c>
      <c r="Q20" t="s">
        <v>382</v>
      </c>
      <c r="R20" s="34">
        <f>-L36</f>
        <v>1997.13</v>
      </c>
      <c r="S20" s="34">
        <f>-K36</f>
        <v>6091.39</v>
      </c>
    </row>
    <row r="21" spans="5:19" ht="12.75">
      <c r="E21" s="3" t="s">
        <v>122</v>
      </c>
      <c r="F21" s="34">
        <f>Feb02!F21+195.21-1428.15+215.76</f>
        <v>215.76</v>
      </c>
      <c r="I21" s="32" t="s">
        <v>91</v>
      </c>
      <c r="K21" s="34">
        <f>Feb02!K21</f>
        <v>0</v>
      </c>
      <c r="Q21" t="s">
        <v>383</v>
      </c>
      <c r="R21" s="34">
        <f>-L37</f>
        <v>369.15</v>
      </c>
      <c r="S21" s="34">
        <f>-K37</f>
        <v>1108.2600000000002</v>
      </c>
    </row>
    <row r="22" spans="5:19" ht="12.75">
      <c r="E22" s="3" t="s">
        <v>131</v>
      </c>
      <c r="F22" s="34">
        <f>Feb02!F22+342-3562+378</f>
        <v>378</v>
      </c>
      <c r="Q22" t="s">
        <v>384</v>
      </c>
      <c r="R22" s="34">
        <f>-L38</f>
        <v>878.79</v>
      </c>
      <c r="S22" s="34">
        <f>-K38</f>
        <v>2636.37</v>
      </c>
    </row>
    <row r="23" spans="4:19" ht="12.75">
      <c r="D23" s="40" t="s">
        <v>118</v>
      </c>
      <c r="E23" s="40"/>
      <c r="Q23" t="s">
        <v>386</v>
      </c>
      <c r="R23" s="34">
        <v>0</v>
      </c>
      <c r="S23" s="34">
        <v>0</v>
      </c>
    </row>
    <row r="24" spans="4:19" ht="12.75">
      <c r="D24" s="40"/>
      <c r="E24" s="41" t="s">
        <v>120</v>
      </c>
      <c r="F24" s="34">
        <f>Feb02!F24-2250</f>
        <v>0</v>
      </c>
      <c r="G24" s="5" t="s">
        <v>16</v>
      </c>
      <c r="H24" s="5"/>
      <c r="J24" s="29"/>
      <c r="Q24" s="114" t="s">
        <v>163</v>
      </c>
      <c r="R24" s="60">
        <f>SUM(R19:R23)</f>
        <v>3245.07</v>
      </c>
      <c r="S24" s="60">
        <f>SUM(S19:S23)</f>
        <v>9836.02</v>
      </c>
    </row>
    <row r="25" spans="4:19" ht="12.75">
      <c r="D25" s="40"/>
      <c r="E25" s="41" t="s">
        <v>121</v>
      </c>
      <c r="F25" s="34">
        <f>Feb02!F25+844.64-6258.2</f>
        <v>0</v>
      </c>
      <c r="G25" s="5"/>
      <c r="H25" s="5" t="s">
        <v>5</v>
      </c>
      <c r="J25" s="29"/>
      <c r="R25" s="34"/>
      <c r="S25" s="34"/>
    </row>
    <row r="26" spans="4:19" ht="13.5" thickBot="1">
      <c r="D26" s="40"/>
      <c r="E26" s="41" t="s">
        <v>122</v>
      </c>
      <c r="F26" s="34">
        <f>Feb02!F26+616.47-2465.88</f>
        <v>0</v>
      </c>
      <c r="G26" s="5"/>
      <c r="H26" s="5"/>
      <c r="I26" s="32" t="s">
        <v>6</v>
      </c>
      <c r="J26" s="29"/>
      <c r="K26" s="34">
        <f>Feb02!K26</f>
        <v>100000</v>
      </c>
      <c r="P26" s="2" t="s">
        <v>387</v>
      </c>
      <c r="R26" s="116">
        <f>R16-R24</f>
        <v>11517.75</v>
      </c>
      <c r="S26" s="116">
        <f>S16-S24</f>
        <v>4926.799999999999</v>
      </c>
    </row>
    <row r="27" spans="5:19" ht="13.5" thickTop="1">
      <c r="E27" s="3" t="s">
        <v>131</v>
      </c>
      <c r="F27" s="34">
        <f>Feb02!F27+1080-5910</f>
        <v>0</v>
      </c>
      <c r="G27" s="5"/>
      <c r="H27" s="5"/>
      <c r="J27" s="29"/>
      <c r="R27" s="34"/>
      <c r="S27" s="34"/>
    </row>
    <row r="28" spans="4:19" ht="12.75">
      <c r="D28" s="3" t="s">
        <v>70</v>
      </c>
      <c r="F28" s="34">
        <f>378+215.76-215.76-378</f>
        <v>0</v>
      </c>
      <c r="G28" s="5"/>
      <c r="H28" s="5" t="s">
        <v>80</v>
      </c>
      <c r="I28" s="33"/>
      <c r="J28" s="29"/>
      <c r="P28" s="78">
        <v>0.15</v>
      </c>
      <c r="Q28" t="s">
        <v>388</v>
      </c>
      <c r="R28" s="34"/>
      <c r="S28" s="34"/>
    </row>
    <row r="29" spans="2:19" ht="12.75">
      <c r="B29" s="2" t="s">
        <v>11</v>
      </c>
      <c r="E29" s="43"/>
      <c r="G29" s="5"/>
      <c r="H29" s="5"/>
      <c r="I29" s="32" t="s">
        <v>145</v>
      </c>
      <c r="K29" s="61" t="s">
        <v>205</v>
      </c>
      <c r="L29" s="62" t="s">
        <v>204</v>
      </c>
      <c r="M29" t="s">
        <v>154</v>
      </c>
      <c r="N29" t="s">
        <v>155</v>
      </c>
      <c r="P29" s="78">
        <v>0.25</v>
      </c>
      <c r="Q29" t="s">
        <v>389</v>
      </c>
      <c r="R29" s="34"/>
      <c r="S29" s="34"/>
    </row>
    <row r="30" spans="3:14" ht="12.75">
      <c r="C30" t="s">
        <v>12</v>
      </c>
      <c r="G30" s="5"/>
      <c r="H30" s="5"/>
      <c r="J30" s="29" t="s">
        <v>79</v>
      </c>
      <c r="K30" s="34">
        <f>Feb02!K30+L30</f>
        <v>41200</v>
      </c>
      <c r="L30" s="34">
        <f>SUM(M30:N30)</f>
        <v>41200</v>
      </c>
      <c r="M30" s="34">
        <v>16000</v>
      </c>
      <c r="N30" s="34">
        <v>25200</v>
      </c>
    </row>
    <row r="31" spans="4:19" ht="13.5" thickBot="1">
      <c r="D31" s="3" t="s">
        <v>17</v>
      </c>
      <c r="F31" s="34">
        <f>Feb02!F31</f>
        <v>25000</v>
      </c>
      <c r="J31" s="30" t="s">
        <v>134</v>
      </c>
      <c r="L31" s="34"/>
      <c r="M31" s="1"/>
      <c r="N31" s="1"/>
      <c r="Q31" s="2" t="s">
        <v>390</v>
      </c>
      <c r="R31" s="117">
        <f>R26-R28-R29</f>
        <v>11517.75</v>
      </c>
      <c r="S31" s="117">
        <f>S26-S28-S29</f>
        <v>4926.799999999999</v>
      </c>
    </row>
    <row r="32" spans="4:15" ht="12.75">
      <c r="D32" s="3" t="s">
        <v>18</v>
      </c>
      <c r="F32" s="34">
        <f>Feb02!F32</f>
        <v>50000</v>
      </c>
      <c r="J32" s="40" t="s">
        <v>135</v>
      </c>
      <c r="K32" s="34">
        <f>Feb02!K32+L32</f>
        <v>-3450</v>
      </c>
      <c r="L32" s="34">
        <f>SUM(M32:N32)</f>
        <v>-3450</v>
      </c>
      <c r="M32" s="34">
        <v>-1200</v>
      </c>
      <c r="N32" s="34">
        <v>-2250</v>
      </c>
      <c r="O32" s="41"/>
    </row>
    <row r="33" spans="4:15" ht="12.75">
      <c r="D33" s="3" t="s">
        <v>19</v>
      </c>
      <c r="F33" s="34">
        <f>Feb02!F33</f>
        <v>15000</v>
      </c>
      <c r="J33" s="40" t="s">
        <v>136</v>
      </c>
      <c r="K33" s="34">
        <f>Feb02!K33+L33</f>
        <v>-9621.15</v>
      </c>
      <c r="L33" s="34">
        <f>SUM(M33:N33)</f>
        <v>-9621.15</v>
      </c>
      <c r="M33" s="34">
        <v>-3362.95</v>
      </c>
      <c r="N33" s="34">
        <v>-6258.2</v>
      </c>
      <c r="O33" s="41"/>
    </row>
    <row r="34" spans="4:15" ht="12.75">
      <c r="D34" s="3" t="s">
        <v>20</v>
      </c>
      <c r="F34" s="34">
        <f>Feb02!F34</f>
        <v>2000</v>
      </c>
      <c r="J34" s="40" t="s">
        <v>137</v>
      </c>
      <c r="K34" s="34">
        <f>Feb02!K34+L34</f>
        <v>-3894.03</v>
      </c>
      <c r="L34" s="34">
        <f>SUM(M34:N34)</f>
        <v>-3894.03</v>
      </c>
      <c r="M34" s="34">
        <v>-1428.15</v>
      </c>
      <c r="N34" s="34">
        <v>-2465.88</v>
      </c>
      <c r="O34" s="41"/>
    </row>
    <row r="35" spans="4:15" ht="12.75">
      <c r="D35" s="3" t="s">
        <v>21</v>
      </c>
      <c r="F35" s="34">
        <f>Feb02!F35</f>
        <v>15000</v>
      </c>
      <c r="J35" s="40" t="s">
        <v>138</v>
      </c>
      <c r="K35" s="34">
        <f>Feb02!K35+L35</f>
        <v>-9472</v>
      </c>
      <c r="L35" s="34">
        <f>SUM(M35:N35)</f>
        <v>-9472</v>
      </c>
      <c r="M35" s="34">
        <v>-3562</v>
      </c>
      <c r="N35" s="34">
        <v>-5910</v>
      </c>
      <c r="O35" s="3"/>
    </row>
    <row r="36" spans="3:15" ht="12.75">
      <c r="C36" t="s">
        <v>72</v>
      </c>
      <c r="F36" s="34">
        <f>Feb02!F36</f>
        <v>0</v>
      </c>
      <c r="J36" s="30" t="s">
        <v>133</v>
      </c>
      <c r="K36" s="34">
        <f>Feb02!K36+L36</f>
        <v>-6091.39</v>
      </c>
      <c r="L36" s="34">
        <f>-300-1447.13-200-50</f>
        <v>-1997.13</v>
      </c>
      <c r="M36" s="1"/>
      <c r="N36" s="1"/>
      <c r="O36" s="41"/>
    </row>
    <row r="37" spans="3:14" ht="12.75">
      <c r="C37" t="s">
        <v>78</v>
      </c>
      <c r="F37" s="34">
        <f>Feb02!F37-825</f>
        <v>-3708</v>
      </c>
      <c r="J37" s="30" t="s">
        <v>139</v>
      </c>
      <c r="K37" s="34">
        <f>Feb02!K37+L37</f>
        <v>-1108.2600000000002</v>
      </c>
      <c r="L37" s="34">
        <f>-312.5-56.65</f>
        <v>-369.15</v>
      </c>
      <c r="M37" s="1"/>
      <c r="N37" s="1"/>
    </row>
    <row r="38" spans="10:15" ht="12.75">
      <c r="J38" s="30" t="s">
        <v>315</v>
      </c>
      <c r="K38" s="34">
        <f>Feb02!K38+L38</f>
        <v>-2636.37</v>
      </c>
      <c r="L38" s="34">
        <f>-53.79-825</f>
        <v>-878.79</v>
      </c>
      <c r="M38" s="1"/>
      <c r="N38" s="1"/>
      <c r="O38" s="41"/>
    </row>
    <row r="39" spans="2:12" ht="12.75">
      <c r="B39" s="2" t="s">
        <v>13</v>
      </c>
      <c r="I39" s="46" t="s">
        <v>146</v>
      </c>
      <c r="K39" s="34">
        <f>Feb02!K39</f>
        <v>-6988.11</v>
      </c>
      <c r="L39" s="34"/>
    </row>
    <row r="40" spans="3:14" ht="12.75">
      <c r="C40" t="s">
        <v>14</v>
      </c>
      <c r="F40" s="34">
        <f>Feb02!F40</f>
        <v>400</v>
      </c>
      <c r="G40" s="5"/>
      <c r="H40" s="5"/>
      <c r="J40" s="29"/>
      <c r="M40" s="34">
        <f>SUM(M30:M38)</f>
        <v>6446.9</v>
      </c>
      <c r="N40" s="34">
        <f>SUM(N30:N38)</f>
        <v>8315.919999999998</v>
      </c>
    </row>
    <row r="41" spans="3:12" ht="12.75">
      <c r="C41" t="s">
        <v>31</v>
      </c>
      <c r="F41" s="34">
        <f>Feb02!F41</f>
        <v>2000</v>
      </c>
      <c r="G41" s="5"/>
      <c r="H41" s="5"/>
      <c r="J41" s="29"/>
      <c r="L41" s="34">
        <f>SUM(L30:L38)</f>
        <v>11517.75</v>
      </c>
    </row>
    <row r="42" spans="3:10" ht="12.75">
      <c r="C42" t="s">
        <v>119</v>
      </c>
      <c r="F42" s="34">
        <f>Feb02!F42-53.79</f>
        <v>3012.28</v>
      </c>
      <c r="G42" s="5"/>
      <c r="H42" s="5"/>
      <c r="J42" s="29"/>
    </row>
    <row r="43" spans="7:10" ht="12.75">
      <c r="G43" s="5"/>
      <c r="H43" s="5"/>
      <c r="J43" s="29"/>
    </row>
    <row r="44" spans="6:11" ht="12.75">
      <c r="F44" s="47">
        <f>SUM(F5:F43)</f>
        <v>140387.34</v>
      </c>
      <c r="G44" s="5"/>
      <c r="H44" s="5"/>
      <c r="J44" s="29"/>
      <c r="K44" s="47">
        <f>SUM(K5:K43)</f>
        <v>140387.34000000003</v>
      </c>
    </row>
    <row r="45" spans="7:10" ht="12.75">
      <c r="G45" s="5"/>
      <c r="H45" s="5"/>
      <c r="J45" s="34">
        <f>K44-F44</f>
        <v>0</v>
      </c>
    </row>
    <row r="46" spans="7:10" ht="12.75">
      <c r="G46" s="5"/>
      <c r="H46" s="5"/>
      <c r="J46" s="29"/>
    </row>
    <row r="47" spans="7:10" ht="12.75">
      <c r="G47" s="5"/>
      <c r="H47" s="5"/>
      <c r="J47" s="29"/>
    </row>
    <row r="48" spans="7:10" ht="12.75">
      <c r="G48" s="5"/>
      <c r="H48" s="5"/>
      <c r="J48" s="29"/>
    </row>
    <row r="49" spans="7:10" ht="12.75">
      <c r="G49" s="5"/>
      <c r="H49" s="5"/>
      <c r="J49" s="29"/>
    </row>
    <row r="50" spans="7:10" ht="12.75">
      <c r="G50" s="5"/>
      <c r="H50" s="5"/>
      <c r="J50" s="29"/>
    </row>
    <row r="51" spans="7:10" ht="12.75">
      <c r="G51" s="5"/>
      <c r="H51" s="5"/>
      <c r="J51" s="29"/>
    </row>
    <row r="52" spans="7:10" ht="12.75">
      <c r="G52" s="5"/>
      <c r="H52" s="5"/>
      <c r="J52" s="29"/>
    </row>
    <row r="53" spans="7:10" ht="12.75">
      <c r="G53" s="5"/>
      <c r="H53" s="5"/>
      <c r="J53" s="29"/>
    </row>
    <row r="54" spans="7:10" ht="12.75">
      <c r="G54" s="5"/>
      <c r="H54" s="5"/>
      <c r="J54" s="29"/>
    </row>
    <row r="55" spans="7:10" ht="12.75">
      <c r="G55" s="5"/>
      <c r="H55" s="5"/>
      <c r="J55" s="29"/>
    </row>
    <row r="56" spans="7:10" ht="12.75">
      <c r="G56" s="5"/>
      <c r="H56" s="5"/>
      <c r="J56" s="29"/>
    </row>
    <row r="57" spans="7:10" ht="12.75">
      <c r="G57" s="5"/>
      <c r="H57" s="5"/>
      <c r="J57" s="29"/>
    </row>
    <row r="58" spans="7:10" ht="12.75">
      <c r="G58" s="5"/>
      <c r="H58" s="5"/>
      <c r="J58" s="29"/>
    </row>
    <row r="59" spans="7:10" ht="12.75">
      <c r="G59" s="5"/>
      <c r="H59" s="5"/>
      <c r="J59" s="29"/>
    </row>
    <row r="60" spans="7:10" ht="12.75">
      <c r="G60" s="5"/>
      <c r="H60" s="5"/>
      <c r="J60" s="29"/>
    </row>
    <row r="61" spans="7:10" ht="12.75">
      <c r="G61" s="5"/>
      <c r="H61" s="5"/>
      <c r="J61" s="29"/>
    </row>
    <row r="62" spans="7:10" ht="12.75">
      <c r="G62" s="5"/>
      <c r="H62" s="5"/>
      <c r="J62" s="29"/>
    </row>
    <row r="63" spans="7:10" ht="12.75">
      <c r="G63" s="5"/>
      <c r="H63" s="5"/>
      <c r="J63" s="29"/>
    </row>
    <row r="64" spans="7:10" ht="12.75">
      <c r="G64" s="5"/>
      <c r="H64" s="5"/>
      <c r="J64" s="29"/>
    </row>
    <row r="65" spans="7:10" ht="12.75">
      <c r="G65" s="5"/>
      <c r="H65" s="5"/>
      <c r="J65" s="29"/>
    </row>
    <row r="66" spans="7:10" ht="12.75">
      <c r="G66" s="5"/>
      <c r="H66" s="5"/>
      <c r="J66" s="29"/>
    </row>
    <row r="67" spans="7:10" ht="12.75">
      <c r="G67" s="5"/>
      <c r="H67" s="5"/>
      <c r="J67" s="29"/>
    </row>
    <row r="68" spans="7:10" ht="12.75">
      <c r="G68" s="5"/>
      <c r="H68" s="5"/>
      <c r="J68" s="29"/>
    </row>
    <row r="69" spans="7:10" ht="12.75">
      <c r="G69" s="5"/>
      <c r="H69" s="5"/>
      <c r="J69" s="29"/>
    </row>
    <row r="70" spans="7:10" ht="12.75">
      <c r="G70" s="5"/>
      <c r="H70" s="5"/>
      <c r="J70" s="29"/>
    </row>
    <row r="71" spans="7:10" ht="12.75">
      <c r="G71" s="5"/>
      <c r="H71" s="5"/>
      <c r="J71" s="29"/>
    </row>
    <row r="72" spans="7:10" ht="12.75">
      <c r="G72" s="5"/>
      <c r="H72" s="5"/>
      <c r="J72" s="29"/>
    </row>
    <row r="73" spans="7:10" ht="12.75">
      <c r="G73" s="5"/>
      <c r="H73" s="5"/>
      <c r="J73" s="29"/>
    </row>
    <row r="74" spans="7:10" ht="12.75">
      <c r="G74" s="5"/>
      <c r="H74" s="5"/>
      <c r="J74" s="29"/>
    </row>
    <row r="75" spans="7:10" ht="12.75">
      <c r="G75" s="5"/>
      <c r="H75" s="5"/>
      <c r="J75" s="29"/>
    </row>
    <row r="76" spans="7:10" ht="12.75">
      <c r="G76" s="5"/>
      <c r="H76" s="5"/>
      <c r="J76" s="29"/>
    </row>
  </sheetData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workbookViewId="0" topLeftCell="A1">
      <selection activeCell="A1" sqref="A1"/>
    </sheetView>
  </sheetViews>
  <sheetFormatPr defaultColWidth="9.140625" defaultRowHeight="12.75"/>
  <cols>
    <col min="1" max="2" width="1.7109375" style="2" customWidth="1"/>
    <col min="3" max="3" width="1.7109375" style="0" customWidth="1"/>
    <col min="4" max="4" width="10.140625" style="3" customWidth="1"/>
    <col min="5" max="5" width="11.28125" style="3" bestFit="1" customWidth="1"/>
    <col min="6" max="6" width="11.28125" style="34" bestFit="1" customWidth="1"/>
    <col min="7" max="8" width="1.7109375" style="2" customWidth="1"/>
    <col min="9" max="9" width="1.7109375" style="32" customWidth="1"/>
    <col min="10" max="10" width="24.57421875" style="3" customWidth="1"/>
    <col min="11" max="11" width="11.28125" style="34" bestFit="1" customWidth="1"/>
    <col min="12" max="12" width="9.8515625" style="0" bestFit="1" customWidth="1"/>
    <col min="16" max="16" width="4.7109375" style="0" customWidth="1"/>
    <col min="17" max="17" width="28.7109375" style="0" customWidth="1"/>
    <col min="18" max="19" width="12.7109375" style="0" customWidth="1"/>
  </cols>
  <sheetData>
    <row r="1" spans="1:19" ht="12.75">
      <c r="A1" s="2" t="s">
        <v>24</v>
      </c>
      <c r="P1" s="2" t="s">
        <v>24</v>
      </c>
      <c r="Q1" s="2"/>
      <c r="S1" s="3"/>
    </row>
    <row r="2" spans="1:19" ht="12.75">
      <c r="A2" s="2" t="s">
        <v>25</v>
      </c>
      <c r="P2" s="113" t="s">
        <v>377</v>
      </c>
      <c r="Q2" s="2"/>
      <c r="S2" s="3"/>
    </row>
    <row r="3" spans="1:17" ht="12.75">
      <c r="A3" s="2" t="s">
        <v>26</v>
      </c>
      <c r="D3" s="6">
        <v>37315</v>
      </c>
      <c r="E3" s="6"/>
      <c r="P3" s="2" t="s">
        <v>26</v>
      </c>
      <c r="Q3" s="6">
        <f>D3</f>
        <v>37315</v>
      </c>
    </row>
    <row r="4" spans="18:19" ht="12.75">
      <c r="R4" s="68" t="s">
        <v>204</v>
      </c>
      <c r="S4" s="68" t="s">
        <v>380</v>
      </c>
    </row>
    <row r="5" spans="1:19" ht="12.75">
      <c r="A5" s="2" t="s">
        <v>7</v>
      </c>
      <c r="G5" s="5" t="s">
        <v>15</v>
      </c>
      <c r="H5" s="5"/>
      <c r="J5" s="29"/>
      <c r="P5" s="2" t="s">
        <v>79</v>
      </c>
      <c r="R5" s="34"/>
      <c r="S5" s="34"/>
    </row>
    <row r="6" spans="2:19" ht="12.75">
      <c r="B6" s="2" t="s">
        <v>0</v>
      </c>
      <c r="G6" s="5"/>
      <c r="H6" s="5" t="s">
        <v>4</v>
      </c>
      <c r="J6" s="29"/>
      <c r="Q6" t="s">
        <v>378</v>
      </c>
      <c r="R6" s="34">
        <f>L30</f>
        <v>0</v>
      </c>
      <c r="S6" s="34">
        <f>K30</f>
        <v>0</v>
      </c>
    </row>
    <row r="7" spans="3:19" ht="12.75">
      <c r="C7" t="s">
        <v>1</v>
      </c>
      <c r="G7" s="5"/>
      <c r="H7" s="5"/>
      <c r="I7" s="33" t="s">
        <v>23</v>
      </c>
      <c r="J7" s="30"/>
      <c r="K7" s="34">
        <f>Ene02!K7-200-50</f>
        <v>500</v>
      </c>
      <c r="Q7" s="114" t="s">
        <v>163</v>
      </c>
      <c r="R7" s="60">
        <f>SUM(R6)</f>
        <v>0</v>
      </c>
      <c r="S7" s="60">
        <f>SUM(S6)</f>
        <v>0</v>
      </c>
    </row>
    <row r="8" spans="4:19" ht="12.75">
      <c r="D8" s="3" t="s">
        <v>2</v>
      </c>
      <c r="F8" s="34">
        <f>Ene02!F8</f>
        <v>1000</v>
      </c>
      <c r="G8" s="5"/>
      <c r="H8" s="5"/>
      <c r="I8" s="32" t="s">
        <v>102</v>
      </c>
      <c r="J8" s="29"/>
      <c r="K8" s="34">
        <f>Ene02!K8-813.46+3000</f>
        <v>9791.760000000002</v>
      </c>
      <c r="R8" s="34"/>
      <c r="S8" s="34"/>
    </row>
    <row r="9" spans="4:19" ht="12.75">
      <c r="D9" s="3" t="s">
        <v>3</v>
      </c>
      <c r="F9" s="34">
        <f>Ene02!F9-400-1200-2000-1800+5000+20.83-2299.08-200-200-813.46-72.16-50+3000</f>
        <v>95.15000000000146</v>
      </c>
      <c r="G9" s="5"/>
      <c r="H9" s="5"/>
      <c r="I9" s="33" t="s">
        <v>22</v>
      </c>
      <c r="J9" s="30"/>
      <c r="K9" s="34">
        <f>Ene02!K9+4500-1200+1000-2000</f>
        <v>11700</v>
      </c>
      <c r="P9" s="113" t="s">
        <v>379</v>
      </c>
      <c r="R9" s="34"/>
      <c r="S9" s="34"/>
    </row>
    <row r="10" spans="3:19" ht="12.75">
      <c r="C10" s="4" t="s">
        <v>140</v>
      </c>
      <c r="F10" s="34">
        <f>Ene02!F10-5000</f>
        <v>0</v>
      </c>
      <c r="G10" s="5"/>
      <c r="H10" s="5"/>
      <c r="I10" s="32" t="s">
        <v>69</v>
      </c>
      <c r="J10" s="31"/>
      <c r="K10" s="34">
        <f>Ene02!K10</f>
        <v>3708</v>
      </c>
      <c r="Q10" t="s">
        <v>120</v>
      </c>
      <c r="R10" s="34">
        <f>-L32</f>
        <v>0</v>
      </c>
      <c r="S10" s="34">
        <f>-K32</f>
        <v>0</v>
      </c>
    </row>
    <row r="11" spans="3:19" ht="12.75">
      <c r="C11" s="4" t="s">
        <v>123</v>
      </c>
      <c r="F11" s="34">
        <f>Ene02!F11</f>
        <v>0</v>
      </c>
      <c r="G11" s="5"/>
      <c r="H11" s="5"/>
      <c r="I11" s="32" t="s">
        <v>91</v>
      </c>
      <c r="Q11" t="s">
        <v>121</v>
      </c>
      <c r="R11" s="34">
        <f>-L33</f>
        <v>0</v>
      </c>
      <c r="S11" s="34">
        <f>-K33</f>
        <v>0</v>
      </c>
    </row>
    <row r="12" spans="3:19" ht="12.75">
      <c r="C12" s="4" t="s">
        <v>8</v>
      </c>
      <c r="G12" s="5"/>
      <c r="H12" s="5"/>
      <c r="J12" s="3" t="s">
        <v>92</v>
      </c>
      <c r="K12" s="34">
        <f>Ene02!K12+175.5</f>
        <v>531.84</v>
      </c>
      <c r="Q12" t="s">
        <v>122</v>
      </c>
      <c r="R12" s="34">
        <f>-L34</f>
        <v>0</v>
      </c>
      <c r="S12" s="34">
        <f>-K34</f>
        <v>0</v>
      </c>
    </row>
    <row r="13" spans="4:19" ht="12.75">
      <c r="D13" s="3" t="s">
        <v>9</v>
      </c>
      <c r="F13" s="34">
        <f>Ene02!F13+200-200</f>
        <v>0</v>
      </c>
      <c r="G13" s="5"/>
      <c r="H13" s="5"/>
      <c r="J13" s="29" t="s">
        <v>93</v>
      </c>
      <c r="K13" s="34">
        <f>Ene02!K13-249.08+249.08</f>
        <v>249.07999999999996</v>
      </c>
      <c r="Q13" t="s">
        <v>131</v>
      </c>
      <c r="R13" s="34">
        <f>-L35</f>
        <v>0</v>
      </c>
      <c r="S13" s="34">
        <f>-K35</f>
        <v>0</v>
      </c>
    </row>
    <row r="14" spans="4:19" ht="12.75">
      <c r="D14" s="3" t="s">
        <v>126</v>
      </c>
      <c r="F14" s="34">
        <f>Ene02!F14-50</f>
        <v>350</v>
      </c>
      <c r="J14" s="3" t="s">
        <v>96</v>
      </c>
      <c r="K14" s="34">
        <f>Ene02!K14+312.5-72.16+64.45+40</f>
        <v>1666.95</v>
      </c>
      <c r="Q14" s="114" t="s">
        <v>163</v>
      </c>
      <c r="R14" s="60">
        <f>SUM(R10:R13)</f>
        <v>0</v>
      </c>
      <c r="S14" s="60">
        <f>SUM(S10:S13)</f>
        <v>0</v>
      </c>
    </row>
    <row r="15" spans="3:19" ht="12.75">
      <c r="C15" t="s">
        <v>10</v>
      </c>
      <c r="J15" s="3" t="s">
        <v>70</v>
      </c>
      <c r="K15" s="34">
        <f>Ene02!K15+100-400+300</f>
        <v>300</v>
      </c>
      <c r="R15" s="34"/>
      <c r="S15" s="34"/>
    </row>
    <row r="16" spans="4:19" ht="13.5" thickBot="1">
      <c r="D16" s="3" t="s">
        <v>115</v>
      </c>
      <c r="F16" s="34">
        <f>Ene02!F16+4500+1000-1900-4187.18</f>
        <v>2186.8199999999997</v>
      </c>
      <c r="P16" s="115" t="s">
        <v>356</v>
      </c>
      <c r="R16" s="116">
        <f>R7-R14</f>
        <v>0</v>
      </c>
      <c r="S16" s="116">
        <f>S7-S14</f>
        <v>0</v>
      </c>
    </row>
    <row r="17" spans="4:19" ht="13.5" thickTop="1">
      <c r="D17" s="3" t="s">
        <v>116</v>
      </c>
      <c r="F17" s="34">
        <f>Ene02!F17</f>
        <v>0</v>
      </c>
      <c r="H17" s="2" t="s">
        <v>56</v>
      </c>
      <c r="R17" s="34"/>
      <c r="S17" s="34"/>
    </row>
    <row r="18" spans="4:19" ht="12.75">
      <c r="D18" s="3" t="s">
        <v>117</v>
      </c>
      <c r="I18" s="32" t="s">
        <v>57</v>
      </c>
      <c r="P18" s="2" t="s">
        <v>381</v>
      </c>
      <c r="R18" s="34"/>
      <c r="S18" s="34"/>
    </row>
    <row r="19" spans="5:19" ht="12.75">
      <c r="E19" s="3" t="s">
        <v>120</v>
      </c>
      <c r="F19" s="34">
        <f>Ene02!F19</f>
        <v>1200</v>
      </c>
      <c r="J19" s="3" t="s">
        <v>58</v>
      </c>
      <c r="K19" s="34">
        <f>Ene02!K19</f>
        <v>21292</v>
      </c>
      <c r="Q19" t="s">
        <v>385</v>
      </c>
      <c r="R19" s="34">
        <v>0</v>
      </c>
      <c r="S19" s="34">
        <v>0</v>
      </c>
    </row>
    <row r="20" spans="5:19" ht="12.75">
      <c r="E20" s="3" t="s">
        <v>121</v>
      </c>
      <c r="F20" s="34">
        <f>Ene02!F20+1413.62</f>
        <v>2949.62</v>
      </c>
      <c r="J20" s="40" t="s">
        <v>153</v>
      </c>
      <c r="K20" s="34">
        <f>Ene02!K20</f>
        <v>0</v>
      </c>
      <c r="Q20" t="s">
        <v>382</v>
      </c>
      <c r="R20" s="34">
        <f>-L36</f>
        <v>2097.13</v>
      </c>
      <c r="S20" s="34">
        <f>-K36</f>
        <v>4094.26</v>
      </c>
    </row>
    <row r="21" spans="5:19" ht="12.75">
      <c r="E21" s="3" t="s">
        <v>122</v>
      </c>
      <c r="F21" s="34">
        <f>Ene02!F21+410.98</f>
        <v>1232.94</v>
      </c>
      <c r="I21" s="32" t="s">
        <v>91</v>
      </c>
      <c r="K21" s="34">
        <f>Ene02!K21</f>
        <v>0</v>
      </c>
      <c r="Q21" t="s">
        <v>383</v>
      </c>
      <c r="R21" s="34">
        <f>-L37</f>
        <v>396.12</v>
      </c>
      <c r="S21" s="34">
        <f>-K37</f>
        <v>739.1100000000001</v>
      </c>
    </row>
    <row r="22" spans="5:19" ht="12.75">
      <c r="E22" s="3" t="s">
        <v>131</v>
      </c>
      <c r="F22" s="34">
        <f>Ene02!F22+1480</f>
        <v>3220</v>
      </c>
      <c r="Q22" t="s">
        <v>384</v>
      </c>
      <c r="R22" s="34">
        <f>-L38</f>
        <v>878.79</v>
      </c>
      <c r="S22" s="34">
        <f>-K38</f>
        <v>1757.58</v>
      </c>
    </row>
    <row r="23" spans="4:19" ht="12.75">
      <c r="D23" s="40" t="s">
        <v>118</v>
      </c>
      <c r="E23" s="40"/>
      <c r="Q23" t="s">
        <v>386</v>
      </c>
      <c r="R23" s="34">
        <v>0</v>
      </c>
      <c r="S23" s="34">
        <v>0</v>
      </c>
    </row>
    <row r="24" spans="4:19" ht="12.75">
      <c r="D24" s="40"/>
      <c r="E24" s="41" t="s">
        <v>120</v>
      </c>
      <c r="F24" s="34">
        <f>Ene02!F24</f>
        <v>2250</v>
      </c>
      <c r="G24" s="5" t="s">
        <v>16</v>
      </c>
      <c r="H24" s="5"/>
      <c r="J24" s="29"/>
      <c r="Q24" s="114" t="s">
        <v>163</v>
      </c>
      <c r="R24" s="60">
        <f>SUM(R19:R23)</f>
        <v>3372.04</v>
      </c>
      <c r="S24" s="60">
        <f>SUM(S19:S23)</f>
        <v>6590.950000000001</v>
      </c>
    </row>
    <row r="25" spans="4:19" ht="12.75">
      <c r="D25" s="40"/>
      <c r="E25" s="41" t="s">
        <v>121</v>
      </c>
      <c r="F25" s="34">
        <f>Ene02!F25+2773.56</f>
        <v>5413.5599999999995</v>
      </c>
      <c r="G25" s="5"/>
      <c r="H25" s="5" t="s">
        <v>5</v>
      </c>
      <c r="J25" s="29"/>
      <c r="R25" s="34"/>
      <c r="S25" s="34"/>
    </row>
    <row r="26" spans="4:19" ht="13.5" thickBot="1">
      <c r="D26" s="40"/>
      <c r="E26" s="41" t="s">
        <v>122</v>
      </c>
      <c r="F26" s="34">
        <f>Ene02!F26+616.47</f>
        <v>1849.41</v>
      </c>
      <c r="G26" s="5"/>
      <c r="H26" s="5"/>
      <c r="I26" s="32" t="s">
        <v>6</v>
      </c>
      <c r="J26" s="29"/>
      <c r="K26" s="34">
        <f>Ene02!K26</f>
        <v>100000</v>
      </c>
      <c r="P26" s="2" t="s">
        <v>387</v>
      </c>
      <c r="R26" s="116">
        <f>R16-R24</f>
        <v>-3372.04</v>
      </c>
      <c r="S26" s="116">
        <f>S16-S24</f>
        <v>-6590.950000000001</v>
      </c>
    </row>
    <row r="27" spans="5:19" ht="13.5" thickTop="1">
      <c r="E27" s="3" t="s">
        <v>131</v>
      </c>
      <c r="F27" s="34">
        <f>Ene02!F27+2220</f>
        <v>4830</v>
      </c>
      <c r="G27" s="5"/>
      <c r="H27" s="5"/>
      <c r="J27" s="29"/>
      <c r="R27" s="34"/>
      <c r="S27" s="34"/>
    </row>
    <row r="28" spans="7:19" ht="12.75">
      <c r="G28" s="5"/>
      <c r="H28" s="5" t="s">
        <v>80</v>
      </c>
      <c r="I28" s="33"/>
      <c r="J28" s="29"/>
      <c r="P28" s="78">
        <v>0.15</v>
      </c>
      <c r="Q28" t="s">
        <v>388</v>
      </c>
      <c r="R28" s="34"/>
      <c r="S28" s="34"/>
    </row>
    <row r="29" spans="2:19" ht="12.75">
      <c r="B29" s="2" t="s">
        <v>11</v>
      </c>
      <c r="E29" s="43"/>
      <c r="G29" s="5"/>
      <c r="H29" s="5"/>
      <c r="I29" s="32" t="s">
        <v>145</v>
      </c>
      <c r="K29" s="61" t="s">
        <v>205</v>
      </c>
      <c r="L29" s="62" t="s">
        <v>204</v>
      </c>
      <c r="P29" s="78">
        <v>0.25</v>
      </c>
      <c r="Q29" t="s">
        <v>389</v>
      </c>
      <c r="R29" s="34"/>
      <c r="S29" s="34"/>
    </row>
    <row r="30" spans="3:12" ht="12.75">
      <c r="C30" t="s">
        <v>12</v>
      </c>
      <c r="G30" s="5"/>
      <c r="H30" s="5"/>
      <c r="J30" s="29" t="s">
        <v>79</v>
      </c>
      <c r="K30" s="34">
        <f>Ene02!K30+L30</f>
        <v>0</v>
      </c>
      <c r="L30" s="34">
        <v>0</v>
      </c>
    </row>
    <row r="31" spans="4:19" ht="13.5" thickBot="1">
      <c r="D31" s="3" t="s">
        <v>17</v>
      </c>
      <c r="F31" s="34">
        <f>Ene02!F31</f>
        <v>25000</v>
      </c>
      <c r="J31" s="30" t="s">
        <v>134</v>
      </c>
      <c r="K31" s="34">
        <f>Ene02!K31+L31</f>
        <v>0</v>
      </c>
      <c r="L31" s="34">
        <v>0</v>
      </c>
      <c r="Q31" s="2" t="s">
        <v>390</v>
      </c>
      <c r="R31" s="117">
        <f>R26-R28-R29</f>
        <v>-3372.04</v>
      </c>
      <c r="S31" s="117">
        <f>S26-S28-S29</f>
        <v>-6590.950000000001</v>
      </c>
    </row>
    <row r="32" spans="4:12" ht="12.75">
      <c r="D32" s="3" t="s">
        <v>18</v>
      </c>
      <c r="F32" s="34">
        <f>Ene02!F32</f>
        <v>50000</v>
      </c>
      <c r="J32" s="40" t="s">
        <v>135</v>
      </c>
      <c r="K32" s="34">
        <f>Ene02!K32+L32</f>
        <v>0</v>
      </c>
      <c r="L32" s="34">
        <v>0</v>
      </c>
    </row>
    <row r="33" spans="4:12" ht="12.75">
      <c r="D33" s="3" t="s">
        <v>19</v>
      </c>
      <c r="F33" s="34">
        <f>Ene02!F33</f>
        <v>15000</v>
      </c>
      <c r="J33" s="40" t="s">
        <v>136</v>
      </c>
      <c r="K33" s="34">
        <f>Ene02!K33+L33</f>
        <v>0</v>
      </c>
      <c r="L33" s="34">
        <v>0</v>
      </c>
    </row>
    <row r="34" spans="4:12" ht="12.75">
      <c r="D34" s="3" t="s">
        <v>20</v>
      </c>
      <c r="F34" s="34">
        <f>Ene02!F34</f>
        <v>2000</v>
      </c>
      <c r="J34" s="40" t="s">
        <v>137</v>
      </c>
      <c r="K34" s="34">
        <f>Ene02!K34+L34</f>
        <v>0</v>
      </c>
      <c r="L34" s="34">
        <v>0</v>
      </c>
    </row>
    <row r="35" spans="4:12" ht="12.75">
      <c r="D35" s="3" t="s">
        <v>21</v>
      </c>
      <c r="F35" s="34">
        <f>Ene02!F35</f>
        <v>15000</v>
      </c>
      <c r="J35" s="40" t="s">
        <v>138</v>
      </c>
      <c r="K35" s="34">
        <f>Ene02!K35+L35</f>
        <v>0</v>
      </c>
      <c r="L35" s="34">
        <v>0</v>
      </c>
    </row>
    <row r="36" spans="3:12" ht="12.75">
      <c r="C36" t="s">
        <v>72</v>
      </c>
      <c r="F36" s="34">
        <f>Ene02!F36</f>
        <v>0</v>
      </c>
      <c r="J36" s="30" t="s">
        <v>133</v>
      </c>
      <c r="K36" s="34">
        <f>Ene02!K36+L36</f>
        <v>-4094.26</v>
      </c>
      <c r="L36" s="34">
        <f>-100-300-1447.13-200-50</f>
        <v>-2097.13</v>
      </c>
    </row>
    <row r="37" spans="3:12" ht="12.75">
      <c r="C37" t="s">
        <v>78</v>
      </c>
      <c r="F37" s="34">
        <f>Ene02!F37-825</f>
        <v>-2883</v>
      </c>
      <c r="J37" s="30" t="s">
        <v>139</v>
      </c>
      <c r="K37" s="34">
        <f>Ene02!K37+L37</f>
        <v>-739.1100000000001</v>
      </c>
      <c r="L37" s="34">
        <f>20.83-312.5-64.45-40</f>
        <v>-396.12</v>
      </c>
    </row>
    <row r="38" spans="10:12" ht="12.75">
      <c r="J38" s="30" t="s">
        <v>315</v>
      </c>
      <c r="K38" s="34">
        <f>Ene02!K38+L38</f>
        <v>-1757.58</v>
      </c>
      <c r="L38" s="34">
        <f>-53.79-825</f>
        <v>-878.79</v>
      </c>
    </row>
    <row r="39" spans="2:12" ht="12.75">
      <c r="B39" s="2" t="s">
        <v>13</v>
      </c>
      <c r="I39" s="46" t="s">
        <v>146</v>
      </c>
      <c r="K39" s="34">
        <f>Ene02!K39+L39</f>
        <v>-6988.11</v>
      </c>
      <c r="L39" s="34"/>
    </row>
    <row r="40" spans="3:10" ht="12.75">
      <c r="C40" t="s">
        <v>14</v>
      </c>
      <c r="F40" s="34">
        <f>Ene02!F40</f>
        <v>400</v>
      </c>
      <c r="G40" s="5"/>
      <c r="H40" s="5"/>
      <c r="J40" s="29"/>
    </row>
    <row r="41" spans="3:12" ht="12.75">
      <c r="C41" t="s">
        <v>31</v>
      </c>
      <c r="F41" s="34">
        <f>Ene02!F41</f>
        <v>2000</v>
      </c>
      <c r="G41" s="5"/>
      <c r="H41" s="5"/>
      <c r="J41" s="29"/>
      <c r="L41" s="34">
        <f>SUM(L30:L38)</f>
        <v>-3372.04</v>
      </c>
    </row>
    <row r="42" spans="3:10" ht="12.75">
      <c r="C42" t="s">
        <v>119</v>
      </c>
      <c r="F42" s="34">
        <f>Ene02!F42-53.79</f>
        <v>3066.07</v>
      </c>
      <c r="G42" s="5"/>
      <c r="H42" s="5"/>
      <c r="J42" s="29"/>
    </row>
    <row r="43" spans="7:10" ht="12.75">
      <c r="G43" s="5"/>
      <c r="H43" s="5"/>
      <c r="J43" s="29"/>
    </row>
    <row r="44" spans="6:11" ht="12.75">
      <c r="F44" s="47">
        <f>SUM(F5:F43)</f>
        <v>136160.57</v>
      </c>
      <c r="G44" s="5"/>
      <c r="H44" s="5"/>
      <c r="J44" s="29"/>
      <c r="K44" s="47">
        <f>SUM(K5:K43)</f>
        <v>136160.57000000004</v>
      </c>
    </row>
    <row r="45" spans="7:10" ht="12.75">
      <c r="G45" s="5"/>
      <c r="H45" s="5"/>
      <c r="J45" s="28">
        <f>K44-F44</f>
        <v>0</v>
      </c>
    </row>
    <row r="46" spans="7:10" ht="12.75">
      <c r="G46" s="5"/>
      <c r="H46" s="5"/>
      <c r="J46" s="29"/>
    </row>
    <row r="47" spans="7:10" ht="12.75">
      <c r="G47" s="5"/>
      <c r="H47" s="5"/>
      <c r="J47" s="29"/>
    </row>
    <row r="48" spans="7:10" ht="12.75">
      <c r="G48" s="5"/>
      <c r="H48" s="5"/>
      <c r="J48" s="29"/>
    </row>
    <row r="49" spans="7:10" ht="12.75">
      <c r="G49" s="5"/>
      <c r="H49" s="5"/>
      <c r="J49" s="29"/>
    </row>
    <row r="50" spans="7:10" ht="12.75">
      <c r="G50" s="5"/>
      <c r="H50" s="5"/>
      <c r="J50" s="29"/>
    </row>
    <row r="51" spans="7:10" ht="12.75">
      <c r="G51" s="5"/>
      <c r="H51" s="5"/>
      <c r="J51" s="29"/>
    </row>
    <row r="52" spans="7:10" ht="12.75">
      <c r="G52" s="5"/>
      <c r="H52" s="5"/>
      <c r="J52" s="29"/>
    </row>
    <row r="53" spans="7:10" ht="12.75">
      <c r="G53" s="5"/>
      <c r="H53" s="5"/>
      <c r="J53" s="29"/>
    </row>
    <row r="54" spans="7:10" ht="12.75">
      <c r="G54" s="5"/>
      <c r="H54" s="5"/>
      <c r="J54" s="29"/>
    </row>
    <row r="55" spans="7:10" ht="12.75">
      <c r="G55" s="5"/>
      <c r="H55" s="5"/>
      <c r="J55" s="29"/>
    </row>
    <row r="56" spans="7:10" ht="12.75">
      <c r="G56" s="5"/>
      <c r="H56" s="5"/>
      <c r="J56" s="29"/>
    </row>
    <row r="57" spans="7:10" ht="12.75">
      <c r="G57" s="5"/>
      <c r="H57" s="5"/>
      <c r="J57" s="29"/>
    </row>
    <row r="58" spans="7:10" ht="12.75">
      <c r="G58" s="5"/>
      <c r="H58" s="5"/>
      <c r="J58" s="29"/>
    </row>
    <row r="59" spans="7:10" ht="12.75">
      <c r="G59" s="5"/>
      <c r="H59" s="5"/>
      <c r="J59" s="29"/>
    </row>
    <row r="60" spans="7:10" ht="12.75">
      <c r="G60" s="5"/>
      <c r="H60" s="5"/>
      <c r="J60" s="29"/>
    </row>
    <row r="61" spans="7:10" ht="12.75">
      <c r="G61" s="5"/>
      <c r="H61" s="5"/>
      <c r="J61" s="29"/>
    </row>
    <row r="62" spans="7:10" ht="12.75">
      <c r="G62" s="5"/>
      <c r="H62" s="5"/>
      <c r="J62" s="29"/>
    </row>
    <row r="63" spans="7:10" ht="12.75">
      <c r="G63" s="5"/>
      <c r="H63" s="5"/>
      <c r="J63" s="29"/>
    </row>
    <row r="64" spans="7:10" ht="12.75">
      <c r="G64" s="5"/>
      <c r="H64" s="5"/>
      <c r="J64" s="29"/>
    </row>
    <row r="65" spans="7:10" ht="12.75">
      <c r="G65" s="5"/>
      <c r="H65" s="5"/>
      <c r="J65" s="29"/>
    </row>
    <row r="66" spans="7:10" ht="12.75">
      <c r="G66" s="5"/>
      <c r="H66" s="5"/>
      <c r="J66" s="29"/>
    </row>
    <row r="67" spans="7:10" ht="12.75">
      <c r="G67" s="5"/>
      <c r="H67" s="5"/>
      <c r="J67" s="29"/>
    </row>
    <row r="68" spans="7:10" ht="12.75">
      <c r="G68" s="5"/>
      <c r="H68" s="5"/>
      <c r="J68" s="29"/>
    </row>
    <row r="69" spans="7:10" ht="12.75">
      <c r="G69" s="5"/>
      <c r="H69" s="5"/>
      <c r="J69" s="29"/>
    </row>
    <row r="70" spans="7:10" ht="12.75">
      <c r="G70" s="5"/>
      <c r="H70" s="5"/>
      <c r="J70" s="29"/>
    </row>
    <row r="71" spans="7:10" ht="12.75">
      <c r="G71" s="5"/>
      <c r="H71" s="5"/>
      <c r="J71" s="29"/>
    </row>
    <row r="72" spans="7:10" ht="12.75">
      <c r="G72" s="5"/>
      <c r="H72" s="5"/>
      <c r="J72" s="29"/>
    </row>
    <row r="73" spans="7:10" ht="12.75">
      <c r="G73" s="5"/>
      <c r="H73" s="5"/>
      <c r="J73" s="29"/>
    </row>
    <row r="74" spans="7:10" ht="12.75">
      <c r="G74" s="5"/>
      <c r="H74" s="5"/>
      <c r="J74" s="29"/>
    </row>
    <row r="75" spans="7:10" ht="12.75">
      <c r="G75" s="5"/>
      <c r="H75" s="5"/>
      <c r="J75" s="29"/>
    </row>
    <row r="76" spans="7:10" ht="12.75">
      <c r="G76" s="5"/>
      <c r="H76" s="5"/>
      <c r="J76" s="29"/>
    </row>
  </sheetData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workbookViewId="0" topLeftCell="A1">
      <selection activeCell="A1" sqref="A1"/>
    </sheetView>
  </sheetViews>
  <sheetFormatPr defaultColWidth="9.140625" defaultRowHeight="12.75"/>
  <cols>
    <col min="1" max="2" width="1.7109375" style="2" customWidth="1"/>
    <col min="3" max="3" width="1.7109375" style="0" customWidth="1"/>
    <col min="4" max="4" width="10.140625" style="3" customWidth="1"/>
    <col min="5" max="5" width="11.28125" style="3" bestFit="1" customWidth="1"/>
    <col min="6" max="6" width="11.28125" style="34" bestFit="1" customWidth="1"/>
    <col min="7" max="8" width="1.7109375" style="2" customWidth="1"/>
    <col min="9" max="9" width="1.7109375" style="32" customWidth="1"/>
    <col min="10" max="10" width="24.57421875" style="3" customWidth="1"/>
    <col min="11" max="11" width="11.28125" style="34" bestFit="1" customWidth="1"/>
    <col min="12" max="13" width="9.8515625" style="0" bestFit="1" customWidth="1"/>
    <col min="16" max="16" width="4.7109375" style="0" customWidth="1"/>
    <col min="17" max="17" width="28.7109375" style="0" customWidth="1"/>
    <col min="18" max="19" width="12.7109375" style="0" customWidth="1"/>
  </cols>
  <sheetData>
    <row r="1" spans="1:19" ht="12.75">
      <c r="A1" s="2" t="s">
        <v>24</v>
      </c>
      <c r="P1" s="2" t="s">
        <v>24</v>
      </c>
      <c r="Q1" s="2"/>
      <c r="S1" s="3"/>
    </row>
    <row r="2" spans="1:19" ht="12.75">
      <c r="A2" s="2" t="s">
        <v>25</v>
      </c>
      <c r="P2" s="113" t="s">
        <v>377</v>
      </c>
      <c r="Q2" s="2"/>
      <c r="S2" s="3"/>
    </row>
    <row r="3" spans="1:17" ht="12.75">
      <c r="A3" s="2" t="s">
        <v>26</v>
      </c>
      <c r="D3" s="6">
        <v>37287</v>
      </c>
      <c r="E3" s="6"/>
      <c r="P3" s="2" t="s">
        <v>26</v>
      </c>
      <c r="Q3" s="6">
        <f>D3</f>
        <v>37287</v>
      </c>
    </row>
    <row r="4" spans="18:19" ht="12.75">
      <c r="R4" s="68" t="s">
        <v>204</v>
      </c>
      <c r="S4" s="68" t="s">
        <v>380</v>
      </c>
    </row>
    <row r="5" spans="1:19" ht="12.75">
      <c r="A5" s="2" t="s">
        <v>7</v>
      </c>
      <c r="G5" s="5" t="s">
        <v>15</v>
      </c>
      <c r="H5" s="5"/>
      <c r="J5" s="29"/>
      <c r="P5" s="2" t="s">
        <v>79</v>
      </c>
      <c r="R5" s="34"/>
      <c r="S5" s="34"/>
    </row>
    <row r="6" spans="2:19" ht="12.75">
      <c r="B6" s="2" t="s">
        <v>0</v>
      </c>
      <c r="G6" s="5"/>
      <c r="H6" s="5" t="s">
        <v>4</v>
      </c>
      <c r="J6" s="29"/>
      <c r="Q6" t="s">
        <v>378</v>
      </c>
      <c r="R6" s="34">
        <f>L30</f>
        <v>0</v>
      </c>
      <c r="S6" s="34">
        <f>K30</f>
        <v>0</v>
      </c>
    </row>
    <row r="7" spans="3:19" ht="12.75">
      <c r="C7" t="s">
        <v>1</v>
      </c>
      <c r="G7" s="5"/>
      <c r="H7" s="5"/>
      <c r="I7" s="33" t="s">
        <v>23</v>
      </c>
      <c r="J7" s="30"/>
      <c r="K7" s="34">
        <f>Dic01!K7-200-50</f>
        <v>750</v>
      </c>
      <c r="Q7" s="114" t="s">
        <v>163</v>
      </c>
      <c r="R7" s="60">
        <f>SUM(R6)</f>
        <v>0</v>
      </c>
      <c r="S7" s="60">
        <f>SUM(S6)</f>
        <v>0</v>
      </c>
    </row>
    <row r="8" spans="4:19" ht="12.75">
      <c r="D8" s="3" t="s">
        <v>2</v>
      </c>
      <c r="F8" s="34">
        <f>Dic01!F8</f>
        <v>1000</v>
      </c>
      <c r="G8" s="5"/>
      <c r="H8" s="5"/>
      <c r="I8" s="32" t="s">
        <v>102</v>
      </c>
      <c r="J8" s="29"/>
      <c r="K8" s="34">
        <f>Dic01!K8-805.81</f>
        <v>7605.220000000001</v>
      </c>
      <c r="R8" s="34"/>
      <c r="S8" s="34"/>
    </row>
    <row r="9" spans="4:19" ht="12.75">
      <c r="D9" s="3" t="s">
        <v>3</v>
      </c>
      <c r="F9" s="34">
        <f>Dic01!F9-300-1000+10000+41.67-2299.08-200-200-805.81-79.81-50-5000</f>
        <v>1109.0200000000013</v>
      </c>
      <c r="G9" s="5"/>
      <c r="H9" s="5"/>
      <c r="I9" s="33" t="s">
        <v>22</v>
      </c>
      <c r="J9" s="30"/>
      <c r="K9" s="34">
        <f>Dic01!K9+3200+3000</f>
        <v>9400</v>
      </c>
      <c r="P9" s="113" t="s">
        <v>379</v>
      </c>
      <c r="R9" s="34"/>
      <c r="S9" s="34"/>
    </row>
    <row r="10" spans="3:19" ht="12.75">
      <c r="C10" s="4" t="s">
        <v>140</v>
      </c>
      <c r="F10" s="34">
        <f>Dic01!F10-10000+5000</f>
        <v>5000</v>
      </c>
      <c r="G10" s="5"/>
      <c r="H10" s="5"/>
      <c r="I10" s="32" t="s">
        <v>69</v>
      </c>
      <c r="J10" s="31"/>
      <c r="K10" s="34">
        <f>Dic01!K10</f>
        <v>3708</v>
      </c>
      <c r="Q10" t="s">
        <v>120</v>
      </c>
      <c r="R10" s="34">
        <f>-L32</f>
        <v>0</v>
      </c>
      <c r="S10" s="34">
        <f>-K32</f>
        <v>0</v>
      </c>
    </row>
    <row r="11" spans="3:19" ht="12.75">
      <c r="C11" s="4" t="s">
        <v>123</v>
      </c>
      <c r="F11" s="34">
        <f>Dic01!F11</f>
        <v>0</v>
      </c>
      <c r="G11" s="5"/>
      <c r="H11" s="5"/>
      <c r="I11" s="32" t="s">
        <v>91</v>
      </c>
      <c r="Q11" t="s">
        <v>121</v>
      </c>
      <c r="R11" s="34">
        <f>-L33</f>
        <v>0</v>
      </c>
      <c r="S11" s="34">
        <f>-K33</f>
        <v>0</v>
      </c>
    </row>
    <row r="12" spans="3:19" ht="12.75">
      <c r="C12" s="4" t="s">
        <v>8</v>
      </c>
      <c r="G12" s="5"/>
      <c r="H12" s="5"/>
      <c r="J12" s="3" t="s">
        <v>92</v>
      </c>
      <c r="K12" s="34">
        <f>Dic01!K12+175.5</f>
        <v>356.34000000000003</v>
      </c>
      <c r="Q12" t="s">
        <v>122</v>
      </c>
      <c r="R12" s="34">
        <f>-L34</f>
        <v>0</v>
      </c>
      <c r="S12" s="34">
        <f>-K34</f>
        <v>0</v>
      </c>
    </row>
    <row r="13" spans="4:19" ht="12.75">
      <c r="D13" s="3" t="s">
        <v>9</v>
      </c>
      <c r="F13" s="34">
        <f>Dic01!F13+200-200</f>
        <v>0</v>
      </c>
      <c r="G13" s="5"/>
      <c r="H13" s="5"/>
      <c r="J13" s="29" t="s">
        <v>93</v>
      </c>
      <c r="K13" s="34">
        <f>Dic01!K13-249.08+249.08</f>
        <v>249.07999999999996</v>
      </c>
      <c r="Q13" t="s">
        <v>131</v>
      </c>
      <c r="R13" s="34">
        <f>-L35</f>
        <v>0</v>
      </c>
      <c r="S13" s="34">
        <f>-K35</f>
        <v>0</v>
      </c>
    </row>
    <row r="14" spans="4:19" ht="12.75">
      <c r="D14" s="3" t="s">
        <v>126</v>
      </c>
      <c r="F14" s="34">
        <f>Dic01!F14-50</f>
        <v>400</v>
      </c>
      <c r="J14" s="3" t="s">
        <v>96</v>
      </c>
      <c r="K14" s="34">
        <f>Dic01!K14+312.5-79.81+72.16</f>
        <v>1322.16</v>
      </c>
      <c r="Q14" s="114" t="s">
        <v>163</v>
      </c>
      <c r="R14" s="60">
        <f>SUM(R10:R13)</f>
        <v>0</v>
      </c>
      <c r="S14" s="60">
        <f>SUM(S10:S13)</f>
        <v>0</v>
      </c>
    </row>
    <row r="15" spans="3:19" ht="12.75">
      <c r="C15" t="s">
        <v>10</v>
      </c>
      <c r="J15" s="3" t="s">
        <v>70</v>
      </c>
      <c r="K15" s="34">
        <f>Dic01!K15-300+300</f>
        <v>300</v>
      </c>
      <c r="R15" s="34"/>
      <c r="S15" s="34"/>
    </row>
    <row r="16" spans="4:19" ht="13.5" thickBot="1">
      <c r="D16" s="3" t="s">
        <v>115</v>
      </c>
      <c r="F16" s="34">
        <f>Dic01!F16+3200+3000-1250-3136</f>
        <v>2774</v>
      </c>
      <c r="P16" s="115" t="s">
        <v>356</v>
      </c>
      <c r="R16" s="116">
        <f>R7-R14</f>
        <v>0</v>
      </c>
      <c r="S16" s="116">
        <f>S7-S14</f>
        <v>0</v>
      </c>
    </row>
    <row r="17" spans="4:19" ht="13.5" thickTop="1">
      <c r="D17" s="3" t="s">
        <v>116</v>
      </c>
      <c r="F17" s="34">
        <f>Dic01!F17</f>
        <v>0</v>
      </c>
      <c r="H17" s="2" t="s">
        <v>56</v>
      </c>
      <c r="R17" s="34"/>
      <c r="S17" s="34"/>
    </row>
    <row r="18" spans="4:19" ht="12.75">
      <c r="D18" s="3" t="s">
        <v>117</v>
      </c>
      <c r="I18" s="32" t="s">
        <v>57</v>
      </c>
      <c r="P18" s="2" t="s">
        <v>381</v>
      </c>
      <c r="R18" s="34"/>
      <c r="S18" s="34"/>
    </row>
    <row r="19" spans="5:19" ht="12.75">
      <c r="E19" s="3" t="s">
        <v>120</v>
      </c>
      <c r="F19" s="34">
        <f>Dic01!F19</f>
        <v>1200</v>
      </c>
      <c r="J19" s="3" t="s">
        <v>58</v>
      </c>
      <c r="K19" s="34">
        <f>Dic01!K19</f>
        <v>21292</v>
      </c>
      <c r="Q19" t="s">
        <v>385</v>
      </c>
      <c r="R19" s="34">
        <v>0</v>
      </c>
      <c r="S19" s="34">
        <v>0</v>
      </c>
    </row>
    <row r="20" spans="5:19" ht="12.75">
      <c r="E20" s="3" t="s">
        <v>121</v>
      </c>
      <c r="F20" s="34">
        <f>Dic01!F20+1152</f>
        <v>1536</v>
      </c>
      <c r="J20" s="40" t="s">
        <v>153</v>
      </c>
      <c r="K20" s="34">
        <f>Dic01!K20</f>
        <v>0</v>
      </c>
      <c r="Q20" t="s">
        <v>382</v>
      </c>
      <c r="R20" s="34">
        <f>-L36</f>
        <v>1997.13</v>
      </c>
      <c r="S20" s="34">
        <f>-K36</f>
        <v>1997.13</v>
      </c>
    </row>
    <row r="21" spans="5:19" ht="12.75">
      <c r="E21" s="3" t="s">
        <v>122</v>
      </c>
      <c r="F21" s="34">
        <f>Dic01!F21+410.98</f>
        <v>821.96</v>
      </c>
      <c r="I21" s="32" t="s">
        <v>91</v>
      </c>
      <c r="K21" s="34">
        <f>Dic01!K21</f>
        <v>0</v>
      </c>
      <c r="Q21" t="s">
        <v>383</v>
      </c>
      <c r="R21" s="34">
        <f>-L37</f>
        <v>342.99</v>
      </c>
      <c r="S21" s="34">
        <f>-K37</f>
        <v>342.9900000000001</v>
      </c>
    </row>
    <row r="22" spans="5:19" ht="12.75">
      <c r="E22" s="3" t="s">
        <v>131</v>
      </c>
      <c r="F22" s="34">
        <f>Dic01!F22+900</f>
        <v>1740</v>
      </c>
      <c r="Q22" t="s">
        <v>384</v>
      </c>
      <c r="R22" s="34">
        <f>-L38</f>
        <v>878.79</v>
      </c>
      <c r="S22" s="34">
        <f>-K38</f>
        <v>878.79</v>
      </c>
    </row>
    <row r="23" spans="4:19" ht="12.75">
      <c r="D23" s="40" t="s">
        <v>118</v>
      </c>
      <c r="E23" s="40"/>
      <c r="Q23" t="s">
        <v>386</v>
      </c>
      <c r="R23" s="34">
        <v>0</v>
      </c>
      <c r="S23" s="34">
        <v>0</v>
      </c>
    </row>
    <row r="24" spans="4:19" ht="12.75">
      <c r="D24" s="40"/>
      <c r="E24" s="41" t="s">
        <v>120</v>
      </c>
      <c r="F24" s="34">
        <f>Dic01!F24</f>
        <v>2250</v>
      </c>
      <c r="G24" s="5" t="s">
        <v>16</v>
      </c>
      <c r="H24" s="5"/>
      <c r="J24" s="29"/>
      <c r="Q24" s="114" t="s">
        <v>163</v>
      </c>
      <c r="R24" s="60">
        <f>SUM(R19:R23)</f>
        <v>3218.91</v>
      </c>
      <c r="S24" s="60">
        <f>SUM(S19:S23)</f>
        <v>3218.9100000000003</v>
      </c>
    </row>
    <row r="25" spans="4:19" ht="12.75">
      <c r="D25" s="40"/>
      <c r="E25" s="41" t="s">
        <v>121</v>
      </c>
      <c r="F25" s="34">
        <f>Dic01!F25+1984</f>
        <v>2640</v>
      </c>
      <c r="G25" s="5"/>
      <c r="H25" s="5" t="s">
        <v>5</v>
      </c>
      <c r="J25" s="29"/>
      <c r="R25" s="34"/>
      <c r="S25" s="34"/>
    </row>
    <row r="26" spans="4:19" ht="13.5" thickBot="1">
      <c r="D26" s="40"/>
      <c r="E26" s="41" t="s">
        <v>122</v>
      </c>
      <c r="F26" s="34">
        <f>Dic01!F26+616.47</f>
        <v>1232.94</v>
      </c>
      <c r="G26" s="5"/>
      <c r="H26" s="5"/>
      <c r="I26" s="32" t="s">
        <v>6</v>
      </c>
      <c r="J26" s="29"/>
      <c r="K26" s="34">
        <f>Dic01!K26</f>
        <v>100000</v>
      </c>
      <c r="P26" s="2" t="s">
        <v>387</v>
      </c>
      <c r="R26" s="116">
        <f>R16-R24</f>
        <v>-3218.91</v>
      </c>
      <c r="S26" s="116">
        <f>S16-S24</f>
        <v>-3218.9100000000003</v>
      </c>
    </row>
    <row r="27" spans="5:19" ht="13.5" thickTop="1">
      <c r="E27" s="3" t="s">
        <v>131</v>
      </c>
      <c r="F27" s="34">
        <f>Dic01!F27+1350</f>
        <v>2610</v>
      </c>
      <c r="G27" s="5"/>
      <c r="H27" s="5"/>
      <c r="J27" s="29"/>
      <c r="R27" s="34"/>
      <c r="S27" s="34"/>
    </row>
    <row r="28" spans="7:19" ht="12.75">
      <c r="G28" s="5"/>
      <c r="H28" s="5" t="s">
        <v>80</v>
      </c>
      <c r="I28" s="33"/>
      <c r="J28" s="29"/>
      <c r="P28" s="78">
        <v>0.15</v>
      </c>
      <c r="Q28" t="s">
        <v>388</v>
      </c>
      <c r="R28" s="34"/>
      <c r="S28" s="34"/>
    </row>
    <row r="29" spans="2:19" ht="12.75">
      <c r="B29" s="2" t="s">
        <v>11</v>
      </c>
      <c r="E29" s="43"/>
      <c r="G29" s="5"/>
      <c r="H29" s="5"/>
      <c r="I29" s="32" t="s">
        <v>145</v>
      </c>
      <c r="K29" s="61" t="s">
        <v>205</v>
      </c>
      <c r="L29" s="62" t="s">
        <v>204</v>
      </c>
      <c r="P29" s="78">
        <v>0.25</v>
      </c>
      <c r="Q29" t="s">
        <v>389</v>
      </c>
      <c r="R29" s="34"/>
      <c r="S29" s="34"/>
    </row>
    <row r="30" spans="3:12" ht="12.75">
      <c r="C30" t="s">
        <v>12</v>
      </c>
      <c r="G30" s="5"/>
      <c r="H30" s="5"/>
      <c r="J30" s="29" t="s">
        <v>79</v>
      </c>
      <c r="K30" s="34">
        <f>Dic01!K30+L30</f>
        <v>0</v>
      </c>
      <c r="L30" s="34">
        <v>0</v>
      </c>
    </row>
    <row r="31" spans="4:19" ht="13.5" thickBot="1">
      <c r="D31" s="3" t="s">
        <v>17</v>
      </c>
      <c r="F31" s="34">
        <f>Dic01!F31</f>
        <v>25000</v>
      </c>
      <c r="J31" s="30" t="s">
        <v>134</v>
      </c>
      <c r="K31" s="34">
        <f>Dic01!K31+L31</f>
        <v>0</v>
      </c>
      <c r="L31" s="34">
        <v>0</v>
      </c>
      <c r="Q31" s="2" t="s">
        <v>390</v>
      </c>
      <c r="R31" s="117">
        <f>R26-R28-R29</f>
        <v>-3218.91</v>
      </c>
      <c r="S31" s="117">
        <f>S26-S28-S29</f>
        <v>-3218.9100000000003</v>
      </c>
    </row>
    <row r="32" spans="4:12" ht="12.75">
      <c r="D32" s="3" t="s">
        <v>18</v>
      </c>
      <c r="F32" s="34">
        <f>Dic01!F32</f>
        <v>50000</v>
      </c>
      <c r="J32" s="40" t="s">
        <v>135</v>
      </c>
      <c r="K32" s="34">
        <f>Dic01!K32+L32</f>
        <v>0</v>
      </c>
      <c r="L32" s="34">
        <v>0</v>
      </c>
    </row>
    <row r="33" spans="4:12" ht="12.75">
      <c r="D33" s="3" t="s">
        <v>19</v>
      </c>
      <c r="F33" s="34">
        <f>Dic01!F33</f>
        <v>15000</v>
      </c>
      <c r="J33" s="40" t="s">
        <v>136</v>
      </c>
      <c r="K33" s="34">
        <f>Dic01!K33+L33</f>
        <v>0</v>
      </c>
      <c r="L33" s="34">
        <v>0</v>
      </c>
    </row>
    <row r="34" spans="4:12" ht="12.75">
      <c r="D34" s="3" t="s">
        <v>20</v>
      </c>
      <c r="F34" s="34">
        <f>Dic01!F34</f>
        <v>2000</v>
      </c>
      <c r="J34" s="40" t="s">
        <v>137</v>
      </c>
      <c r="K34" s="34">
        <f>Dic01!K34+L34</f>
        <v>0</v>
      </c>
      <c r="L34" s="34">
        <v>0</v>
      </c>
    </row>
    <row r="35" spans="4:13" ht="12.75">
      <c r="D35" s="3" t="s">
        <v>21</v>
      </c>
      <c r="F35" s="34">
        <f>Dic01!F35</f>
        <v>15000</v>
      </c>
      <c r="J35" s="40" t="s">
        <v>138</v>
      </c>
      <c r="K35" s="34">
        <f>Dic01!K35+L35</f>
        <v>0</v>
      </c>
      <c r="L35" s="34">
        <v>0</v>
      </c>
      <c r="M35" t="s">
        <v>376</v>
      </c>
    </row>
    <row r="36" spans="3:13" ht="12.75">
      <c r="C36" t="s">
        <v>72</v>
      </c>
      <c r="F36" s="34">
        <f>Dic01!F36</f>
        <v>0</v>
      </c>
      <c r="J36" s="30" t="s">
        <v>133</v>
      </c>
      <c r="K36" s="34">
        <f>Dic01!K36+L36-M36</f>
        <v>-1997.13</v>
      </c>
      <c r="L36" s="34">
        <f>-300-1447.13-200-50</f>
        <v>-1997.13</v>
      </c>
      <c r="M36" s="34">
        <f>Dic01!K36</f>
        <v>-4855.910000000001</v>
      </c>
    </row>
    <row r="37" spans="3:13" ht="12.75">
      <c r="C37" t="s">
        <v>78</v>
      </c>
      <c r="F37" s="34">
        <f>Dic01!F37-825</f>
        <v>-2058</v>
      </c>
      <c r="J37" s="30" t="s">
        <v>139</v>
      </c>
      <c r="K37" s="34">
        <f>Dic01!K37+L37-M37</f>
        <v>-342.9900000000001</v>
      </c>
      <c r="L37" s="34">
        <f>41.67-312.5-72.16</f>
        <v>-342.99</v>
      </c>
      <c r="M37" s="34">
        <f>Dic01!K37</f>
        <v>-845.41</v>
      </c>
    </row>
    <row r="38" spans="10:13" ht="12.75">
      <c r="J38" s="30" t="s">
        <v>315</v>
      </c>
      <c r="K38" s="34">
        <f>Dic01!K38+L38-M38</f>
        <v>-878.79</v>
      </c>
      <c r="L38" s="34">
        <f>-53.79-825</f>
        <v>-878.79</v>
      </c>
      <c r="M38" s="34">
        <f>Dic01!K38</f>
        <v>-1286.79</v>
      </c>
    </row>
    <row r="39" spans="2:12" ht="12.75">
      <c r="B39" s="2" t="s">
        <v>13</v>
      </c>
      <c r="I39" s="46" t="s">
        <v>146</v>
      </c>
      <c r="K39" s="34">
        <f>Dic01!K39+L39</f>
        <v>-6988.11</v>
      </c>
      <c r="L39" s="34">
        <v>-6988.11</v>
      </c>
    </row>
    <row r="40" spans="3:10" ht="12.75">
      <c r="C40" t="s">
        <v>14</v>
      </c>
      <c r="F40" s="34">
        <f>Dic01!F40</f>
        <v>400</v>
      </c>
      <c r="G40" s="5"/>
      <c r="H40" s="5"/>
      <c r="J40" s="29"/>
    </row>
    <row r="41" spans="3:12" ht="12.75">
      <c r="C41" t="s">
        <v>31</v>
      </c>
      <c r="F41" s="34">
        <f>Dic01!F41</f>
        <v>2000</v>
      </c>
      <c r="G41" s="5"/>
      <c r="H41" s="5"/>
      <c r="J41" s="29"/>
      <c r="L41" s="34">
        <f>SUM(L30:L38)</f>
        <v>-3218.91</v>
      </c>
    </row>
    <row r="42" spans="3:10" ht="12.75">
      <c r="C42" t="s">
        <v>119</v>
      </c>
      <c r="F42" s="34">
        <f>Dic01!F42-53.79</f>
        <v>3119.86</v>
      </c>
      <c r="G42" s="5"/>
      <c r="H42" s="5"/>
      <c r="J42" s="29"/>
    </row>
    <row r="43" spans="7:10" ht="12.75">
      <c r="G43" s="5"/>
      <c r="H43" s="5"/>
      <c r="J43" s="29"/>
    </row>
    <row r="44" spans="6:11" ht="12.75">
      <c r="F44" s="47">
        <f>SUM(F5:F43)</f>
        <v>134775.77999999997</v>
      </c>
      <c r="G44" s="5"/>
      <c r="H44" s="5"/>
      <c r="J44" s="29"/>
      <c r="K44" s="47">
        <f>SUM(K5:K43)</f>
        <v>134775.78</v>
      </c>
    </row>
    <row r="45" spans="7:10" ht="12.75">
      <c r="G45" s="5"/>
      <c r="H45" s="5"/>
      <c r="J45" s="28">
        <f>K44-F44</f>
        <v>0</v>
      </c>
    </row>
    <row r="46" spans="7:10" ht="12.75">
      <c r="G46" s="5"/>
      <c r="H46" s="5"/>
      <c r="J46" s="29"/>
    </row>
    <row r="47" spans="7:10" ht="12.75">
      <c r="G47" s="5"/>
      <c r="H47" s="5"/>
      <c r="J47" s="29"/>
    </row>
    <row r="48" spans="7:10" ht="12.75">
      <c r="G48" s="5"/>
      <c r="H48" s="5"/>
      <c r="J48" s="29"/>
    </row>
    <row r="49" spans="7:10" ht="12.75">
      <c r="G49" s="5"/>
      <c r="H49" s="5"/>
      <c r="J49" s="29"/>
    </row>
    <row r="50" spans="7:10" ht="12.75">
      <c r="G50" s="5"/>
      <c r="H50" s="5"/>
      <c r="J50" s="29"/>
    </row>
    <row r="51" spans="7:10" ht="12.75">
      <c r="G51" s="5"/>
      <c r="H51" s="5"/>
      <c r="J51" s="29"/>
    </row>
    <row r="52" spans="7:10" ht="12.75">
      <c r="G52" s="5"/>
      <c r="H52" s="5"/>
      <c r="J52" s="29"/>
    </row>
    <row r="53" spans="7:10" ht="12.75">
      <c r="G53" s="5"/>
      <c r="H53" s="5"/>
      <c r="J53" s="29"/>
    </row>
    <row r="54" spans="7:10" ht="12.75">
      <c r="G54" s="5"/>
      <c r="H54" s="5"/>
      <c r="J54" s="29"/>
    </row>
    <row r="55" spans="7:10" ht="12.75">
      <c r="G55" s="5"/>
      <c r="H55" s="5"/>
      <c r="J55" s="29"/>
    </row>
    <row r="56" spans="7:10" ht="12.75">
      <c r="G56" s="5"/>
      <c r="H56" s="5"/>
      <c r="J56" s="29"/>
    </row>
    <row r="57" spans="7:10" ht="12.75">
      <c r="G57" s="5"/>
      <c r="H57" s="5"/>
      <c r="J57" s="29"/>
    </row>
    <row r="58" spans="7:10" ht="12.75">
      <c r="G58" s="5"/>
      <c r="H58" s="5"/>
      <c r="J58" s="29"/>
    </row>
    <row r="59" spans="7:10" ht="12.75">
      <c r="G59" s="5"/>
      <c r="H59" s="5"/>
      <c r="J59" s="29"/>
    </row>
    <row r="60" spans="7:10" ht="12.75">
      <c r="G60" s="5"/>
      <c r="H60" s="5"/>
      <c r="J60" s="29"/>
    </row>
    <row r="61" spans="7:10" ht="12.75">
      <c r="G61" s="5"/>
      <c r="H61" s="5"/>
      <c r="J61" s="29"/>
    </row>
    <row r="62" spans="7:10" ht="12.75">
      <c r="G62" s="5"/>
      <c r="H62" s="5"/>
      <c r="J62" s="29"/>
    </row>
    <row r="63" spans="7:10" ht="12.75">
      <c r="G63" s="5"/>
      <c r="H63" s="5"/>
      <c r="J63" s="29"/>
    </row>
    <row r="64" spans="7:10" ht="12.75">
      <c r="G64" s="5"/>
      <c r="H64" s="5"/>
      <c r="J64" s="29"/>
    </row>
    <row r="65" spans="7:10" ht="12.75">
      <c r="G65" s="5"/>
      <c r="H65" s="5"/>
      <c r="J65" s="29"/>
    </row>
    <row r="66" spans="7:10" ht="12.75">
      <c r="G66" s="5"/>
      <c r="H66" s="5"/>
      <c r="J66" s="29"/>
    </row>
    <row r="67" spans="7:10" ht="12.75">
      <c r="G67" s="5"/>
      <c r="H67" s="5"/>
      <c r="J67" s="29"/>
    </row>
    <row r="68" spans="7:10" ht="12.75">
      <c r="G68" s="5"/>
      <c r="H68" s="5"/>
      <c r="J68" s="29"/>
    </row>
    <row r="69" spans="7:10" ht="12.75">
      <c r="G69" s="5"/>
      <c r="H69" s="5"/>
      <c r="J69" s="29"/>
    </row>
    <row r="70" spans="7:10" ht="12.75">
      <c r="G70" s="5"/>
      <c r="H70" s="5"/>
      <c r="J70" s="29"/>
    </row>
    <row r="71" spans="7:10" ht="12.75">
      <c r="G71" s="5"/>
      <c r="H71" s="5"/>
      <c r="J71" s="29"/>
    </row>
    <row r="72" spans="7:10" ht="12.75">
      <c r="G72" s="5"/>
      <c r="H72" s="5"/>
      <c r="J72" s="29"/>
    </row>
    <row r="73" spans="7:10" ht="12.75">
      <c r="G73" s="5"/>
      <c r="H73" s="5"/>
      <c r="J73" s="29"/>
    </row>
    <row r="74" spans="7:10" ht="12.75">
      <c r="G74" s="5"/>
      <c r="H74" s="5"/>
      <c r="J74" s="29"/>
    </row>
    <row r="75" spans="7:10" ht="12.75">
      <c r="G75" s="5"/>
      <c r="H75" s="5"/>
      <c r="J75" s="29"/>
    </row>
    <row r="76" spans="7:10" ht="12.75">
      <c r="G76" s="5"/>
      <c r="H76" s="5"/>
      <c r="J76" s="29"/>
    </row>
  </sheetData>
  <printOptions/>
  <pageMargins left="0.75" right="0.75" top="1" bottom="1" header="0.5" footer="0.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Reilan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Barcillo </dc:creator>
  <cp:keywords/>
  <dc:description/>
  <cp:lastModifiedBy>Barcillo </cp:lastModifiedBy>
  <cp:lastPrinted>2002-06-05T19:21:02Z</cp:lastPrinted>
  <dcterms:created xsi:type="dcterms:W3CDTF">2002-06-03T17:38:40Z</dcterms:created>
  <dcterms:modified xsi:type="dcterms:W3CDTF">2002-06-05T19:21:56Z</dcterms:modified>
  <cp:category/>
  <cp:version/>
  <cp:contentType/>
  <cp:contentStatus/>
</cp:coreProperties>
</file>