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8055" windowHeight="5340" tabRatio="599" firstSheet="10" activeTab="17"/>
  </bookViews>
  <sheets>
    <sheet name="Hoja1" sheetId="1" r:id="rId1"/>
    <sheet name="EsquemaSiembra" sheetId="2" r:id="rId2"/>
    <sheet name="Pisc, res." sheetId="3" r:id="rId3"/>
    <sheet name="Rep." sheetId="4" r:id="rId4"/>
    <sheet name="Tanques" sheetId="5" r:id="rId5"/>
    <sheet name="Obra civil" sheetId="6" r:id="rId6"/>
    <sheet name="Otras Inv." sheetId="7" r:id="rId7"/>
    <sheet name="Activos Fijos" sheetId="8" r:id="rId8"/>
    <sheet name="Mano de Obra" sheetId="9" r:id="rId9"/>
    <sheet name="C F de prod. 2" sheetId="10" r:id="rId10"/>
    <sheet name="LevanteMant" sheetId="11" r:id="rId11"/>
    <sheet name="CVde producción" sheetId="12" r:id="rId12"/>
    <sheet name="AdministyVentas" sheetId="13" r:id="rId13"/>
    <sheet name="Ventas" sheetId="14" r:id="rId14"/>
    <sheet name="Data" sheetId="15" r:id="rId15"/>
    <sheet name="PyG" sheetId="16" r:id="rId16"/>
    <sheet name="Flujo" sheetId="17" r:id="rId17"/>
    <sheet name="BG" sheetId="18" r:id="rId18"/>
  </sheets>
  <externalReferences>
    <externalReference r:id="rId21"/>
  </externalReferences>
  <definedNames>
    <definedName name="_xlnm.Print_Area" localSheetId="15">'PyG'!$A$1:$P$32</definedName>
    <definedName name="Fert_HaMes">'[1]Supuestos'!$C$48</definedName>
    <definedName name="Prep_Ha">'[1]Supuestos'!$C$47</definedName>
  </definedNames>
  <calcPr fullCalcOnLoad="1"/>
</workbook>
</file>

<file path=xl/comments10.xml><?xml version="1.0" encoding="utf-8"?>
<comments xmlns="http://schemas.openxmlformats.org/spreadsheetml/2006/main">
  <authors>
    <author>windowsxp</author>
    <author>gfreire</author>
  </authors>
  <commentList>
    <comment ref="B12" authorId="0">
      <text>
        <r>
          <rPr>
            <sz val="8"/>
            <rFont val="Tahoma"/>
            <family val="0"/>
          </rPr>
          <t xml:space="preserve">Son 2 bombas;cada una para bombear 12 horas diarias necesita 3,2 galones, es decir 6,4 galones/día x 30 días=192 galones/mes a $1,10 el galón
</t>
        </r>
      </text>
    </comment>
    <comment ref="B10" authorId="1">
      <text>
        <r>
          <rPr>
            <sz val="10"/>
            <rFont val="Tahoma"/>
            <family val="0"/>
          </rPr>
          <t xml:space="preserve">Se usará 5 cartuchos/día; al mes son 150 cartuchos a $0,32 cada uno.
</t>
        </r>
      </text>
    </comment>
  </commentList>
</comments>
</file>

<file path=xl/comments11.xml><?xml version="1.0" encoding="utf-8"?>
<comments xmlns="http://schemas.openxmlformats.org/spreadsheetml/2006/main">
  <authors>
    <author>gfreire</author>
  </authors>
  <commentList>
    <comment ref="C12" authorId="0">
      <text>
        <r>
          <rPr>
            <b/>
            <sz val="10"/>
            <rFont val="Tahoma"/>
            <family val="0"/>
          </rPr>
          <t>gfreire:</t>
        </r>
        <r>
          <rPr>
            <sz val="10"/>
            <rFont val="Tahoma"/>
            <family val="0"/>
          </rPr>
          <t xml:space="preserve">
estos peces van al sexado</t>
        </r>
      </text>
    </comment>
    <comment ref="F12" authorId="0">
      <text>
        <r>
          <rPr>
            <b/>
            <sz val="10"/>
            <rFont val="Tahoma"/>
            <family val="0"/>
          </rPr>
          <t>gfreire:</t>
        </r>
        <r>
          <rPr>
            <sz val="10"/>
            <rFont val="Tahoma"/>
            <family val="0"/>
          </rPr>
          <t xml:space="preserve">
estos peces van al sexado</t>
        </r>
      </text>
    </comment>
  </commentList>
</comments>
</file>

<file path=xl/comments12.xml><?xml version="1.0" encoding="utf-8"?>
<comments xmlns="http://schemas.openxmlformats.org/spreadsheetml/2006/main">
  <authors>
    <author>gfreire</author>
  </authors>
  <commentList>
    <comment ref="B14" authorId="0">
      <text>
        <r>
          <rPr>
            <b/>
            <sz val="10"/>
            <rFont val="Tahoma"/>
            <family val="0"/>
          </rPr>
          <t>gfreire:</t>
        </r>
        <r>
          <rPr>
            <sz val="10"/>
            <rFont val="Tahoma"/>
            <family val="0"/>
          </rPr>
          <t xml:space="preserve">
estos peces van al sexado</t>
        </r>
      </text>
    </comment>
    <comment ref="B37" authorId="0">
      <text>
        <r>
          <rPr>
            <b/>
            <sz val="10"/>
            <rFont val="Tahoma"/>
            <family val="0"/>
          </rPr>
          <t>gfreire:</t>
        </r>
        <r>
          <rPr>
            <sz val="10"/>
            <rFont val="Tahoma"/>
            <family val="0"/>
          </rPr>
          <t xml:space="preserve">
estos peces van al sexado</t>
        </r>
      </text>
    </comment>
    <comment ref="B61" authorId="0">
      <text>
        <r>
          <rPr>
            <sz val="10"/>
            <rFont val="Tahoma"/>
            <family val="0"/>
          </rPr>
          <t>el costo es $1 en ps.de 1.5 has.se multiplica por 2 porque la ps.de reproducción es de 0,3has.</t>
        </r>
      </text>
    </comment>
  </commentList>
</comments>
</file>

<file path=xl/comments5.xml><?xml version="1.0" encoding="utf-8"?>
<comments xmlns="http://schemas.openxmlformats.org/spreadsheetml/2006/main">
  <authors>
    <author>gfreire</author>
  </authors>
  <commentList>
    <comment ref="B20" authorId="0">
      <text>
        <r>
          <rPr>
            <sz val="10"/>
            <rFont val="Tahoma"/>
            <family val="0"/>
          </rPr>
          <t xml:space="preserve">
25m x 2 lineas</t>
        </r>
      </text>
    </comment>
    <comment ref="B24" authorId="0">
      <text>
        <r>
          <rPr>
            <sz val="10"/>
            <rFont val="Tahoma"/>
            <family val="0"/>
          </rPr>
          <t xml:space="preserve">
1m x 6 tanques</t>
        </r>
      </text>
    </comment>
    <comment ref="B25" authorId="0">
      <text>
        <r>
          <rPr>
            <sz val="10"/>
            <rFont val="Tahoma"/>
            <family val="0"/>
          </rPr>
          <t xml:space="preserve">
3 codos x 6 tanques</t>
        </r>
      </text>
    </comment>
    <comment ref="B29" authorId="0">
      <text>
        <r>
          <rPr>
            <sz val="10"/>
            <rFont val="Tahoma"/>
            <family val="0"/>
          </rPr>
          <t xml:space="preserve">
30m x 2 lineas</t>
        </r>
      </text>
    </comment>
    <comment ref="B37" authorId="0">
      <text>
        <r>
          <rPr>
            <sz val="10"/>
            <rFont val="Tahoma"/>
            <family val="0"/>
          </rPr>
          <t xml:space="preserve">
19 mt de circunferencia por cada tanque como son 6 tanques se requieren 114 mt.</t>
        </r>
      </text>
    </comment>
  </commentList>
</comments>
</file>

<file path=xl/sharedStrings.xml><?xml version="1.0" encoding="utf-8"?>
<sst xmlns="http://schemas.openxmlformats.org/spreadsheetml/2006/main" count="787" uniqueCount="460">
  <si>
    <t>NECESIDADES DE AREA</t>
  </si>
  <si>
    <t>SITUACION ACTUAL</t>
  </si>
  <si>
    <t>ACUESPECIES</t>
  </si>
  <si>
    <t>PRECRIA</t>
  </si>
  <si>
    <t>PRE ENG</t>
  </si>
  <si>
    <t>ENGORDE</t>
  </si>
  <si>
    <t>HECTAREAS DISPONIBLES</t>
  </si>
  <si>
    <t xml:space="preserve">HECTAREAS REQUERIDAS </t>
  </si>
  <si>
    <t>TIEMPO EN PISICINA (DIAS.)</t>
  </si>
  <si>
    <t>COS, SECADO Y LLEN.. (DIAS)</t>
  </si>
  <si>
    <t>TOTAL CICLO DIAS</t>
  </si>
  <si>
    <t>DENSIDAD SIEMBRA / ha</t>
  </si>
  <si>
    <t>SUPERVIVENCIA</t>
  </si>
  <si>
    <t>UNIDADES SEMBRAR/ MES</t>
  </si>
  <si>
    <t>HAS. SIEMBRA / MES</t>
  </si>
  <si>
    <t>Area a igualar</t>
  </si>
  <si>
    <t>Lista de Activos Fijos</t>
  </si>
  <si>
    <t>Tanques</t>
  </si>
  <si>
    <t>Datos reproductores</t>
  </si>
  <si>
    <t xml:space="preserve">Dias de ciclo </t>
  </si>
  <si>
    <t>Supervivencia</t>
  </si>
  <si>
    <t>Relación de reproductores hembra : macho</t>
  </si>
  <si>
    <t>Densidad de reproductores / m2</t>
  </si>
  <si>
    <t>3 a 1</t>
  </si>
  <si>
    <t>Supervivencia de huevos</t>
  </si>
  <si>
    <t>Cantidad a sembrar por ciclo</t>
  </si>
  <si>
    <t>Densidad de tanques / lt</t>
  </si>
  <si>
    <t>Volumen de tanques (ton.)</t>
  </si>
  <si>
    <t>Alevines a sembrar por tanque</t>
  </si>
  <si>
    <t>No de tanques requeridos</t>
  </si>
  <si>
    <t>Producción propuesta por ciclo</t>
  </si>
  <si>
    <t>Dias de ciclo</t>
  </si>
  <si>
    <t>Calculo de tanques necesitados y semilla requerida</t>
  </si>
  <si>
    <t>No. de huevos por gramo de hembra de 250 g</t>
  </si>
  <si>
    <t>No. de huevos por gramo de hembra de 270 g</t>
  </si>
  <si>
    <t>Numero de hembras requeridas de 250 gr.</t>
  </si>
  <si>
    <t>Area</t>
  </si>
  <si>
    <t>USD</t>
  </si>
  <si>
    <t>Largo</t>
  </si>
  <si>
    <t>Ancho</t>
  </si>
  <si>
    <t>MOVIMIENTO DE TIERRA</t>
  </si>
  <si>
    <t>POZO</t>
  </si>
  <si>
    <t>Muros Divisorios</t>
  </si>
  <si>
    <t>Cabeza de 1 muro</t>
  </si>
  <si>
    <t>Base de 1 Muro</t>
  </si>
  <si>
    <t>Altura 1 Muro</t>
  </si>
  <si>
    <t>Volumen  Tot(m3)</t>
  </si>
  <si>
    <t>Costo/m3</t>
  </si>
  <si>
    <t>Costo Movimiento de Tierra</t>
  </si>
  <si>
    <t>TUBERIA DRENAJE PISCINAS</t>
  </si>
  <si>
    <t>N° Piscinas</t>
  </si>
  <si>
    <t>Tuberia(m)</t>
  </si>
  <si>
    <t># Tubos 16"</t>
  </si>
  <si>
    <t># Codos 16"</t>
  </si>
  <si>
    <t>Costo*1tubo 6m</t>
  </si>
  <si>
    <t>Costo*1codo</t>
  </si>
  <si>
    <t>Costo Tuberia Drenaje Piscinas</t>
  </si>
  <si>
    <t>Detectar lugar</t>
  </si>
  <si>
    <t>Profundidad(m)</t>
  </si>
  <si>
    <t>Costo Pozo</t>
  </si>
  <si>
    <t>Costo Total Pozo</t>
  </si>
  <si>
    <t>?</t>
  </si>
  <si>
    <t>Blowers</t>
  </si>
  <si>
    <t>Días requeridos para completar siembra de tanques</t>
  </si>
  <si>
    <t>1 piscina</t>
  </si>
  <si>
    <t>Grupo 1</t>
  </si>
  <si>
    <t>1 grupo de reproductores</t>
  </si>
  <si>
    <t>Fin de raleo ( dia de ciclo)</t>
  </si>
  <si>
    <t>Huevos requeridos por ciclo de rep.</t>
  </si>
  <si>
    <t>Biomasa Hembras requeridas de 250 gr.</t>
  </si>
  <si>
    <t>Raleo requerido por día (1 tq se siembra en 2 días)</t>
  </si>
  <si>
    <t>Raleo requerido para sembra tanques</t>
  </si>
  <si>
    <t>Numero de reproductores</t>
  </si>
  <si>
    <t>Numero de machos</t>
  </si>
  <si>
    <t>Ares de piscina en m2</t>
  </si>
  <si>
    <t>Area de piscina a construir en m2</t>
  </si>
  <si>
    <t>DIMENSIO DE PISCINAS</t>
  </si>
  <si>
    <t>Determinación de area de reservorio de piscinas reproductoras</t>
  </si>
  <si>
    <t>Recambio diario</t>
  </si>
  <si>
    <t>Volumen de piscinas reproductoras (m3)</t>
  </si>
  <si>
    <t>Volumen requerido día (m3)</t>
  </si>
  <si>
    <t>Volumen de tanques (m3)</t>
  </si>
  <si>
    <t>Volumen requerido total día (m3)</t>
  </si>
  <si>
    <t>Longitud</t>
  </si>
  <si>
    <t>Profundidad</t>
  </si>
  <si>
    <t>Colchon (el agua sedimenta 6 horas por día)</t>
  </si>
  <si>
    <t>Determinación de area de reservorio de tanques</t>
  </si>
  <si>
    <t>Volumen requerido con colchon  total</t>
  </si>
  <si>
    <t>Volumen disponible</t>
  </si>
  <si>
    <t>Largo Muro Total</t>
  </si>
  <si>
    <t>Tramo</t>
  </si>
  <si>
    <t>Metros</t>
  </si>
  <si>
    <t>Total</t>
  </si>
  <si>
    <t>Tuberias de drenaje piscinas rep.</t>
  </si>
  <si>
    <t>Tuberias ingreso de agua pisc. Rep</t>
  </si>
  <si>
    <t>TUBERIA INGRESO DE AGUA PISCINAS</t>
  </si>
  <si>
    <t>Tuberia por piscina</t>
  </si>
  <si>
    <t>Bombas acceso reservorio</t>
  </si>
  <si>
    <t>Costo Tuberia ingreso Piscinas</t>
  </si>
  <si>
    <t>BOMBAS ACCESO DE AGUA</t>
  </si>
  <si>
    <t>Volumen requerido ( m3)</t>
  </si>
  <si>
    <t>Tiempo de bombeo (horas)</t>
  </si>
  <si>
    <t>Caudal requerido (litros/ seg)</t>
  </si>
  <si>
    <t>Bomba de 6""</t>
  </si>
  <si>
    <t xml:space="preserve">Motor </t>
  </si>
  <si>
    <t>Costo bomba</t>
  </si>
  <si>
    <t>Costo motor</t>
  </si>
  <si>
    <t>Costo bombeo</t>
  </si>
  <si>
    <t>2 pi *r</t>
  </si>
  <si>
    <t>Altura de agua (m)</t>
  </si>
  <si>
    <t>Diametro (m)</t>
  </si>
  <si>
    <t>Dimensiones</t>
  </si>
  <si>
    <t>Perimetro (m)</t>
  </si>
  <si>
    <t>Grosor (m)</t>
  </si>
  <si>
    <t>Alto de Tanque (m)</t>
  </si>
  <si>
    <t>pi * r2</t>
  </si>
  <si>
    <t>Grosor de piso (m)</t>
  </si>
  <si>
    <t>Area piso (m2)</t>
  </si>
  <si>
    <t>Volumen paredes (m3)</t>
  </si>
  <si>
    <t>Volumen de piso (m3)</t>
  </si>
  <si>
    <t>Volumen total (m3)</t>
  </si>
  <si>
    <t>Costo por m3</t>
  </si>
  <si>
    <t>Costo total</t>
  </si>
  <si>
    <t>Costo 1 tanque</t>
  </si>
  <si>
    <t>Costo total 6 tanques</t>
  </si>
  <si>
    <t>Tuberias de ingreso de agua</t>
  </si>
  <si>
    <t>Reductores de 4 a 2</t>
  </si>
  <si>
    <t>Tuberias de ingreso de aire</t>
  </si>
  <si>
    <t>T de 3"</t>
  </si>
  <si>
    <t>Tubos madre de 4" x  6m</t>
  </si>
  <si>
    <t>T de 4"</t>
  </si>
  <si>
    <t>Tubos de reparto de 2" x 6m</t>
  </si>
  <si>
    <t>Llaves de paso 4"</t>
  </si>
  <si>
    <t>Codos 2"</t>
  </si>
  <si>
    <t>Llaves de paso 2"</t>
  </si>
  <si>
    <t>Tubos madre de 3" x 6m</t>
  </si>
  <si>
    <t>Llaves de paso de 3"</t>
  </si>
  <si>
    <t>Reductores de 3 a 2</t>
  </si>
  <si>
    <t>Reductor de 2 a 1</t>
  </si>
  <si>
    <t>Manguera transparente de 1"</t>
  </si>
  <si>
    <t>Manguera de aire (m)</t>
  </si>
  <si>
    <t>Llaves de paso de 2"</t>
  </si>
  <si>
    <t>Demanda del caudal (lt / seg.)</t>
  </si>
  <si>
    <t>Movimiento de tierra para piscinas</t>
  </si>
  <si>
    <t>Costo  motor bomba 6"</t>
  </si>
  <si>
    <t>Costo/m dediámetro 8"</t>
  </si>
  <si>
    <t>Pozo</t>
  </si>
  <si>
    <t>BLOWERS</t>
  </si>
  <si>
    <t>Blowers de 5 hp</t>
  </si>
  <si>
    <t>Obra civil</t>
  </si>
  <si>
    <t>Bodega</t>
  </si>
  <si>
    <t>Laboratorio</t>
  </si>
  <si>
    <t>Sala de trabajo</t>
  </si>
  <si>
    <t>Oficina</t>
  </si>
  <si>
    <t>Piso</t>
  </si>
  <si>
    <t>Dormitorio biologo</t>
  </si>
  <si>
    <t>Comedor</t>
  </si>
  <si>
    <t>Dormitorio personal</t>
  </si>
  <si>
    <t>Baños personal</t>
  </si>
  <si>
    <t>Baño biologo</t>
  </si>
  <si>
    <t>Paredes</t>
  </si>
  <si>
    <t>Calculo de m2 de construcción</t>
  </si>
  <si>
    <t>Costo / m2</t>
  </si>
  <si>
    <t xml:space="preserve">Sub total </t>
  </si>
  <si>
    <t>Subtotal</t>
  </si>
  <si>
    <t>COCLOS POR AÑO</t>
  </si>
  <si>
    <t>Volumen concreto 1 tanque de 6 m diametro</t>
  </si>
  <si>
    <t>Caudal requerido (gal/ min)</t>
  </si>
  <si>
    <t>Costo por equipo</t>
  </si>
  <si>
    <t>Piscinas</t>
  </si>
  <si>
    <t>Has/Pisc</t>
  </si>
  <si>
    <t>Has</t>
  </si>
  <si>
    <t>No. Reproduct</t>
  </si>
  <si>
    <t>Peso</t>
  </si>
  <si>
    <t>Biomasa (kg)</t>
  </si>
  <si>
    <t>% Biomasa/Dia</t>
  </si>
  <si>
    <t>Balanceado/Mes</t>
  </si>
  <si>
    <t>Costo Balanceado US$/kg</t>
  </si>
  <si>
    <t>Total Balanceado/Mes</t>
  </si>
  <si>
    <t>Costo Preparacion</t>
  </si>
  <si>
    <t>Total Costo Engorde Reproductores</t>
  </si>
  <si>
    <t>Reproduccion</t>
  </si>
  <si>
    <t>Costo Balanceado</t>
  </si>
  <si>
    <t xml:space="preserve">Total Costo Reproduccion </t>
  </si>
  <si>
    <t>Reversion</t>
  </si>
  <si>
    <t>Alevines Sembrados</t>
  </si>
  <si>
    <t>Costo balanceado</t>
  </si>
  <si>
    <t>% Supervivencia</t>
  </si>
  <si>
    <t>Reversados Cosechados</t>
  </si>
  <si>
    <t>Hormona US$/ mg</t>
  </si>
  <si>
    <t>Dias Cultivo</t>
  </si>
  <si>
    <t>mg Hormona/kg Bal</t>
  </si>
  <si>
    <t>Peso Inicial (gr)</t>
  </si>
  <si>
    <t>$ Hormona/Kg Bal</t>
  </si>
  <si>
    <t>Peso Final (gr)</t>
  </si>
  <si>
    <t>Alcohol $/lt</t>
  </si>
  <si>
    <t>Crecimiento (gr/dia)</t>
  </si>
  <si>
    <t>Lt Alcohol/kg Bal</t>
  </si>
  <si>
    <t>Alimento Total (kg)</t>
  </si>
  <si>
    <t>$ Alcohol/kg Bal</t>
  </si>
  <si>
    <t>Costo Bal. Total</t>
  </si>
  <si>
    <t>Total Costo Mensual Produccion "Reversado"</t>
  </si>
  <si>
    <t>Total Costo Directo</t>
  </si>
  <si>
    <t>Costo Directo/000 Alevines</t>
  </si>
  <si>
    <t>Tabla de Crecimiento y Alimentacion Reversion</t>
  </si>
  <si>
    <t>Dia</t>
  </si>
  <si>
    <t>% Sup</t>
  </si>
  <si>
    <t>Biomasa(kg)</t>
  </si>
  <si>
    <t>% Biomasa</t>
  </si>
  <si>
    <t>KgBalanc</t>
  </si>
  <si>
    <t>Levante Reproductores</t>
  </si>
  <si>
    <t>iniciador 45%/Kg</t>
  </si>
  <si>
    <t>Proyecto de Cultivo de Tilapia</t>
  </si>
  <si>
    <t>Mano de Obra Fija</t>
  </si>
  <si>
    <t>Cargo</t>
  </si>
  <si>
    <t>Alimentacion</t>
  </si>
  <si>
    <t>Costos Variables  Produccion Alevines</t>
  </si>
  <si>
    <t>Guardiania y Vigilancia</t>
  </si>
  <si>
    <t>Energía Eléctrica</t>
  </si>
  <si>
    <t>Seguros</t>
  </si>
  <si>
    <t>Transp.Embarques y Estibas</t>
  </si>
  <si>
    <t>Movilizacion y Viaticos</t>
  </si>
  <si>
    <t>Suministros y Utiles de Oficina</t>
  </si>
  <si>
    <t>Telefono y Fax</t>
  </si>
  <si>
    <t>Combustibles y Lubricantes</t>
  </si>
  <si>
    <t>Implementos y Equipos de Trabajo</t>
  </si>
  <si>
    <t>COSTOS FIJOS MENSUAL</t>
  </si>
  <si>
    <t>Reservorio de Diesel</t>
  </si>
  <si>
    <t>Mantenimiento de Maquinarias y Equipos</t>
  </si>
  <si>
    <t>Mantenimiento de Vehiculos</t>
  </si>
  <si>
    <t>Mantenimiento Enmallado de Piscinas</t>
  </si>
  <si>
    <t>Limpieza y Mantenimientos Varios</t>
  </si>
  <si>
    <t>desc</t>
  </si>
  <si>
    <t>repro</t>
  </si>
  <si>
    <t>recol</t>
  </si>
  <si>
    <t>seco</t>
  </si>
  <si>
    <t>Dias Descanso</t>
  </si>
  <si>
    <t>Dias Apareamiento</t>
  </si>
  <si>
    <t>Dias Recoleccion</t>
  </si>
  <si>
    <t>Dias Secos</t>
  </si>
  <si>
    <t>Microscopio</t>
  </si>
  <si>
    <t>refractometro</t>
  </si>
  <si>
    <t>ictiometro</t>
  </si>
  <si>
    <t>Acondicionadores de Aire</t>
  </si>
  <si>
    <t>Computadora</t>
  </si>
  <si>
    <t>Equipos de pesca</t>
  </si>
  <si>
    <t>Muebles de oficina</t>
  </si>
  <si>
    <t>Otros Muebles</t>
  </si>
  <si>
    <t>Camioneta</t>
  </si>
  <si>
    <t>Equipos Varios</t>
  </si>
  <si>
    <t>balanza gramera</t>
  </si>
  <si>
    <t>Romana</t>
  </si>
  <si>
    <t>% Deprec Annual</t>
  </si>
  <si>
    <t>Biologo - Administrador</t>
  </si>
  <si>
    <t>Ayudante</t>
  </si>
  <si>
    <t>Obreros</t>
  </si>
  <si>
    <t>Total Costos Fijos</t>
  </si>
  <si>
    <t>Flujo de Caja Proyectado (en US$)</t>
  </si>
  <si>
    <t>Concepto</t>
  </si>
  <si>
    <t>Inversiones</t>
  </si>
  <si>
    <t>Ingresos por ventas</t>
  </si>
  <si>
    <t>Egresos Operacionales</t>
  </si>
  <si>
    <t>MARGEN OPERACIONAL</t>
  </si>
  <si>
    <t>Gastos Administrativos</t>
  </si>
  <si>
    <t>FLUJO OPERACIONAL</t>
  </si>
  <si>
    <t>Otros Ingresos (Egresos)</t>
  </si>
  <si>
    <t>Saldo Minimo en Caja</t>
  </si>
  <si>
    <t>FLUJO DEL PROYECTO</t>
  </si>
  <si>
    <t>Tasa Interna de Retorno</t>
  </si>
  <si>
    <t>Gerente</t>
  </si>
  <si>
    <t>Contador</t>
  </si>
  <si>
    <t>luz</t>
  </si>
  <si>
    <t>agua</t>
  </si>
  <si>
    <t>papeleria</t>
  </si>
  <si>
    <t>Ventas</t>
  </si>
  <si>
    <t>Adaptacion</t>
  </si>
  <si>
    <t>FCR</t>
  </si>
  <si>
    <t>Costo Variable Reversion</t>
  </si>
  <si>
    <t>Kit de amonio y sulfuro</t>
  </si>
  <si>
    <t>TOTAL</t>
  </si>
  <si>
    <t>Mantenimiento Infraestructura</t>
  </si>
  <si>
    <t>Teléfono</t>
  </si>
  <si>
    <t>Año</t>
  </si>
  <si>
    <t>Millares/mes</t>
  </si>
  <si>
    <t>Millares/Año</t>
  </si>
  <si>
    <t>ADMINISTRACIÓN Y VENTAS</t>
  </si>
  <si>
    <t>Cálculo de reproductores y piscinas requeridas</t>
  </si>
  <si>
    <t>CÁLCULO DE CANTIDADES DE PECES OPTIMOS A SEMBRAR POR MES</t>
  </si>
  <si>
    <t>Invernadero</t>
  </si>
  <si>
    <t>Area(m2)</t>
  </si>
  <si>
    <t>Precio($/m2)</t>
  </si>
  <si>
    <t>Valor total</t>
  </si>
  <si>
    <t>Enmallados</t>
  </si>
  <si>
    <t>pH-metro</t>
  </si>
  <si>
    <t>Oxigenómetro</t>
  </si>
  <si>
    <t>USD Deprec anual</t>
  </si>
  <si>
    <t>Núm</t>
  </si>
  <si>
    <t>Costo preparación por piscina</t>
  </si>
  <si>
    <t>ha</t>
  </si>
  <si>
    <t>Insumo</t>
  </si>
  <si>
    <t>dosis (kg/ha)</t>
  </si>
  <si>
    <t>total kg</t>
  </si>
  <si>
    <t>Precio kg</t>
  </si>
  <si>
    <t>Carbonato</t>
  </si>
  <si>
    <t>Volumen (m3) de agua</t>
  </si>
  <si>
    <t>descanso</t>
  </si>
  <si>
    <t>maduracion</t>
  </si>
  <si>
    <t>disponibildad de semilla para sembrar tanques</t>
  </si>
  <si>
    <t xml:space="preserve">Tengo que determinar numero total de huevos por ciclo? Para </t>
  </si>
  <si>
    <t>calcular numero de hembras por ciclo</t>
  </si>
  <si>
    <t>1. determino nuemro de alevines en 12 dias, perido para sembrar todos los tanques</t>
  </si>
  <si>
    <t>2. determino en promedio por día</t>
  </si>
  <si>
    <t>determino el total de alevines por ciclo</t>
  </si>
  <si>
    <t>4. determino el numero de huevos</t>
  </si>
  <si>
    <t>Disponobilidad de alevines por ciclo</t>
  </si>
  <si>
    <t>Días disponibles de recolección de alevines</t>
  </si>
  <si>
    <t>Dias</t>
  </si>
  <si>
    <t>Producción esperada lbs / ha</t>
  </si>
  <si>
    <t>Tasa de crecimiento gr / día</t>
  </si>
  <si>
    <t>Peso de cosecha gr.</t>
  </si>
  <si>
    <t>Producción esperada peces / ha</t>
  </si>
  <si>
    <t xml:space="preserve">Supervivencia </t>
  </si>
  <si>
    <t>Densidad siembra / ha</t>
  </si>
  <si>
    <t>has disponibles</t>
  </si>
  <si>
    <t>Alevines a sembrar</t>
  </si>
  <si>
    <t>Juveniles a cosechar de 80gr</t>
  </si>
  <si>
    <t>Biomasa a cosechar en kilos</t>
  </si>
  <si>
    <t>Meses ciclo</t>
  </si>
  <si>
    <t>Balanceado mes</t>
  </si>
  <si>
    <t>Aliemnto a consumir kilos /ciclo</t>
  </si>
  <si>
    <t>Ciclo Manteniento</t>
  </si>
  <si>
    <t>Ciclo de levante</t>
  </si>
  <si>
    <t>Peso de siembra gr.</t>
  </si>
  <si>
    <t>Juveniles a sembrar</t>
  </si>
  <si>
    <t>Juveniles a cosechar de 300gr</t>
  </si>
  <si>
    <t>tanques</t>
  </si>
  <si>
    <t>mant.</t>
  </si>
  <si>
    <t>precria</t>
  </si>
  <si>
    <t>Calculo de supervivencia agregada en piscinas de levante de reproductores</t>
  </si>
  <si>
    <t>sp fin de fase</t>
  </si>
  <si>
    <t>peso fin de fase</t>
  </si>
  <si>
    <t>Animaes fin de fase para 100 animale iniciales</t>
  </si>
  <si>
    <t>Ciclo Mantenimiento</t>
  </si>
  <si>
    <t>Alevines cosechados de 0.5</t>
  </si>
  <si>
    <t>Densidad de siembra (alev / lt)</t>
  </si>
  <si>
    <t>Densidad de siembra (peces/ ha)</t>
  </si>
  <si>
    <t>Biomasa inicial (kg)</t>
  </si>
  <si>
    <t>Biomasa final (kg)</t>
  </si>
  <si>
    <t>Incremento de biomasa (kg)</t>
  </si>
  <si>
    <t>Incremento de biomasa</t>
  </si>
  <si>
    <t>Hormona</t>
  </si>
  <si>
    <t>Balanceado</t>
  </si>
  <si>
    <t>Alcohol</t>
  </si>
  <si>
    <t>Costos directos de insumos de produccion</t>
  </si>
  <si>
    <t>Rubro</t>
  </si>
  <si>
    <t>Dólares</t>
  </si>
  <si>
    <t>Levante</t>
  </si>
  <si>
    <t>mantenimiento</t>
  </si>
  <si>
    <t>Reproducción</t>
  </si>
  <si>
    <t>Fases de cultivo</t>
  </si>
  <si>
    <t xml:space="preserve"> Cartuchos</t>
  </si>
  <si>
    <t>Total $ Balanceado/Mes</t>
  </si>
  <si>
    <t>Total $ Balanceado/Ciclo</t>
  </si>
  <si>
    <t>IESS</t>
  </si>
  <si>
    <t>Otros</t>
  </si>
  <si>
    <t>13o</t>
  </si>
  <si>
    <t>Eventuales 10%</t>
  </si>
  <si>
    <t>Estudio de Factibilidad Tecnica - Financiera</t>
  </si>
  <si>
    <t>Estado de Perdidas y Ganancias Proyectado (en US$)</t>
  </si>
  <si>
    <t>%/Vtas</t>
  </si>
  <si>
    <t>Costo de Venta</t>
  </si>
  <si>
    <t>Mano de Obra</t>
  </si>
  <si>
    <t>Depreciacion</t>
  </si>
  <si>
    <t>MARGEN BRUTO</t>
  </si>
  <si>
    <t>Gastos Financieros</t>
  </si>
  <si>
    <t>Otros Egresos (Ingresos)</t>
  </si>
  <si>
    <t>Utilidad Antes de Impuestos</t>
  </si>
  <si>
    <t>Participacion Trabajadores</t>
  </si>
  <si>
    <t>Impuesto a la Renta</t>
  </si>
  <si>
    <t>UTILIDAD NETA</t>
  </si>
  <si>
    <t>Alevines</t>
  </si>
  <si>
    <t>Balance General Proyectado (en US$)</t>
  </si>
  <si>
    <t>Activos</t>
  </si>
  <si>
    <t>Caja, Bancos e Inversiones</t>
  </si>
  <si>
    <t>Cuentas por Cobrar</t>
  </si>
  <si>
    <t>Inventario de Materiales</t>
  </si>
  <si>
    <t>Inventario en Proceso</t>
  </si>
  <si>
    <t>Gastos Pagados por Anticipado</t>
  </si>
  <si>
    <t>Activos Fijos</t>
  </si>
  <si>
    <t>Depreciacion Acumulada</t>
  </si>
  <si>
    <t>Total Activos</t>
  </si>
  <si>
    <t>Pasivos</t>
  </si>
  <si>
    <t>Cuentas por Pagar</t>
  </si>
  <si>
    <t>Gastos por Pagar</t>
  </si>
  <si>
    <t>Patrimonio</t>
  </si>
  <si>
    <t>Capital y Reservas</t>
  </si>
  <si>
    <t>Utilidades (Perdidas)</t>
  </si>
  <si>
    <t>Total Pasivo y Patrimonio</t>
  </si>
  <si>
    <t>Ano</t>
  </si>
  <si>
    <t>Proyecto Alevines</t>
  </si>
  <si>
    <t>Costos Fijos</t>
  </si>
  <si>
    <t>Levantamiento Reproductores</t>
  </si>
  <si>
    <t>Preparación</t>
  </si>
  <si>
    <t>Compra Lineas</t>
  </si>
  <si>
    <t>Costo Mano de Obra</t>
  </si>
  <si>
    <t>Ventas millares</t>
  </si>
  <si>
    <t>Ventas US$</t>
  </si>
  <si>
    <t>TotalCosto</t>
  </si>
  <si>
    <t>Costo de Empaque</t>
  </si>
  <si>
    <t>Total Variable</t>
  </si>
  <si>
    <t>Costo Variable Reproduccion Reversion y Adaptacion</t>
  </si>
  <si>
    <t>Adaptacion de alevines</t>
  </si>
  <si>
    <t>ESTO SOLO SE HACE 1 vez / ano</t>
  </si>
  <si>
    <t>US$/000 alevines vendidos</t>
  </si>
  <si>
    <t>Costos Variables Reproduccion y Reversion</t>
  </si>
  <si>
    <t>Ctas x Pagar</t>
  </si>
  <si>
    <t>Beneficios Sociales</t>
  </si>
  <si>
    <t>Amortizacion Lineas</t>
  </si>
  <si>
    <t>anos 5 - 10</t>
  </si>
  <si>
    <t>Ctas x Cobrar</t>
  </si>
  <si>
    <t>Costos de Venta</t>
  </si>
  <si>
    <t>Costos de Produccion</t>
  </si>
  <si>
    <t>Amortizacion Preoperativos</t>
  </si>
  <si>
    <t>Preoperativos</t>
  </si>
  <si>
    <t>Gastos Preoperativos</t>
  </si>
  <si>
    <t>Total Costo de Venta sin Dep y Amort</t>
  </si>
  <si>
    <t>Total Costo Produccion sin Dep y Amort</t>
  </si>
  <si>
    <t>Total Amortizaciones y Depeciaciones</t>
  </si>
  <si>
    <t>Amortizacion y Depreciacion</t>
  </si>
  <si>
    <t>Reproductores</t>
  </si>
  <si>
    <t>Cobro Ctas x Cobrar</t>
  </si>
  <si>
    <t>Ingresos Netos</t>
  </si>
  <si>
    <t>Egresos Netos</t>
  </si>
  <si>
    <t>Efecto en Egresos</t>
  </si>
  <si>
    <t>Gastos Anticipados</t>
  </si>
  <si>
    <t>1 mes</t>
  </si>
  <si>
    <t>45 dias bodega</t>
  </si>
  <si>
    <t>Costo por Millar</t>
  </si>
  <si>
    <t>?????</t>
  </si>
  <si>
    <t>Terreno???????????</t>
  </si>
  <si>
    <t>Sueldo mensual</t>
  </si>
  <si>
    <t>Secretaria</t>
  </si>
  <si>
    <t>Rproductores</t>
  </si>
  <si>
    <t>Num</t>
  </si>
  <si>
    <t>Costo Unit</t>
  </si>
  <si>
    <t>Ano 0</t>
  </si>
  <si>
    <t>Ano 6</t>
  </si>
  <si>
    <t>Inversion en Activos Diferidos</t>
  </si>
  <si>
    <t>Valor De Rescate</t>
  </si>
  <si>
    <t>Activos Diferidos Netos</t>
  </si>
  <si>
    <t>****************no imprimir aca abajo en la tabla de flujo , ESTO SOLO ES CALCULOS QUE SE PONE COMO TEXTO EN LA SECCION 4,6</t>
  </si>
  <si>
    <t xml:space="preserve">NO VA EN 4,6, VA COMO TEXTO EN LA INTRODUCCION DEL FLUJO DE CAJA, </t>
  </si>
  <si>
    <t>Valor  Actual Neto al</t>
  </si>
  <si>
    <t>Periodo de recuperacion</t>
  </si>
  <si>
    <t>Flujo Acumulado</t>
  </si>
  <si>
    <t>5 años</t>
  </si>
  <si>
    <t>Periodo de recuperacion descontado</t>
  </si>
  <si>
    <t>Flujo Descontado</t>
  </si>
  <si>
    <t>8 Años</t>
  </si>
  <si>
    <t>**** ESTO VA como texto EN 4,6 JUNTO CON UN PEQUENO ANALISIS DEL PY G Y BALANCE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</si>
</sst>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_ * #,##0_ ;_ * \-#,##0_ ;_ * &quot;-&quot;??_ ;_ @_ "/>
    <numFmt numFmtId="177" formatCode="_(* #,##0_);[Red]_(* \(#,##0\);_(* &quot;-&quot;??_);_(@_)"/>
    <numFmt numFmtId="178" formatCode="_(&quot;$&quot;* #,##0_);_(&quot;$&quot;* \(#,##0\);_(&quot;$&quot;* &quot;-&quot;??_);_(@_)"/>
    <numFmt numFmtId="179" formatCode="_(&quot;$&quot;* #,##0.00_);[Red]_(&quot;$&quot;* \(#,##0.00\);_(&quot;$&quot;* &quot;-&quot;??_);_(@_)"/>
    <numFmt numFmtId="180" formatCode="_(&quot;$&quot;* #,##0.0000_);_(&quot;$&quot;* \(#,##0.0000\);_(&quot;$&quot;* &quot;-&quot;??_);_(@_)"/>
    <numFmt numFmtId="181" formatCode="_(&quot;$&quot;* #,##0.00_);_(&quot;$&quot;* \(#,##0.00\);_(&quot;$&quot;* &quot;-&quot;??_);_(@_)"/>
    <numFmt numFmtId="182" formatCode="0.0%"/>
    <numFmt numFmtId="183" formatCode="#,##0.00_ ;\-#,##0.00\ "/>
    <numFmt numFmtId="184" formatCode="_(* #,##0.00_);[Red]_(* \(#,##0.00\);_(* &quot;-&quot;??_);_(@_)"/>
    <numFmt numFmtId="185" formatCode="_ * #,##0.0_ ;_ * \-#,##0.0_ ;_ * &quot;-&quot;??_ ;_ @_ 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sz val="10"/>
      <color indexed="10"/>
      <name val="Arial"/>
      <family val="0"/>
    </font>
    <font>
      <sz val="10"/>
      <name val="Tahoma"/>
      <family val="0"/>
    </font>
    <font>
      <b/>
      <u val="single"/>
      <sz val="10"/>
      <name val="Arial"/>
      <family val="2"/>
    </font>
    <font>
      <sz val="10"/>
      <name val="Arial Black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name val="Tahoma"/>
      <family val="0"/>
    </font>
    <font>
      <b/>
      <sz val="10"/>
      <color indexed="14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17" applyNumberFormat="1" applyFont="1" applyAlignment="1">
      <alignment horizontal="right"/>
    </xf>
    <xf numFmtId="176" fontId="0" fillId="0" borderId="0" xfId="17" applyNumberFormat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2" fillId="0" borderId="0" xfId="17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76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left"/>
    </xf>
    <xf numFmtId="10" fontId="3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44" fontId="3" fillId="0" borderId="0" xfId="19" applyFont="1" applyAlignment="1">
      <alignment/>
    </xf>
    <xf numFmtId="178" fontId="0" fillId="0" borderId="0" xfId="19" applyNumberFormat="1" applyFont="1" applyBorder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2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78" fontId="2" fillId="0" borderId="2" xfId="0" applyNumberFormat="1" applyFont="1" applyBorder="1" applyAlignment="1">
      <alignment/>
    </xf>
    <xf numFmtId="0" fontId="9" fillId="0" borderId="0" xfId="0" applyFont="1" applyAlignment="1">
      <alignment horizontal="left"/>
    </xf>
    <xf numFmtId="9" fontId="3" fillId="0" borderId="0" xfId="0" applyNumberFormat="1" applyFont="1" applyAlignment="1" applyProtection="1">
      <alignment/>
      <protection locked="0"/>
    </xf>
    <xf numFmtId="180" fontId="3" fillId="0" borderId="0" xfId="19" applyNumberFormat="1" applyFont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44" fontId="0" fillId="0" borderId="0" xfId="19" applyFont="1" applyAlignment="1">
      <alignment/>
    </xf>
    <xf numFmtId="174" fontId="0" fillId="0" borderId="0" xfId="0" applyNumberFormat="1" applyFont="1" applyAlignment="1">
      <alignment/>
    </xf>
    <xf numFmtId="4" fontId="3" fillId="0" borderId="0" xfId="19" applyNumberFormat="1" applyFont="1" applyAlignment="1">
      <alignment/>
    </xf>
    <xf numFmtId="181" fontId="0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178" fontId="2" fillId="0" borderId="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182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0" fontId="0" fillId="0" borderId="0" xfId="0" applyAlignment="1" quotePrefix="1">
      <alignment horizontal="left" indent="1"/>
    </xf>
    <xf numFmtId="176" fontId="0" fillId="2" borderId="0" xfId="17" applyNumberFormat="1" applyFill="1" applyAlignment="1">
      <alignment/>
    </xf>
    <xf numFmtId="43" fontId="0" fillId="0" borderId="0" xfId="17" applyAlignment="1">
      <alignment/>
    </xf>
    <xf numFmtId="176" fontId="0" fillId="0" borderId="0" xfId="17" applyNumberFormat="1" applyAlignment="1">
      <alignment/>
    </xf>
    <xf numFmtId="43" fontId="0" fillId="0" borderId="0" xfId="0" applyNumberFormat="1" applyAlignment="1">
      <alignment/>
    </xf>
    <xf numFmtId="9" fontId="0" fillId="0" borderId="0" xfId="21" applyAlignment="1">
      <alignment/>
    </xf>
    <xf numFmtId="0" fontId="11" fillId="0" borderId="0" xfId="0" applyFont="1" applyAlignment="1" quotePrefix="1">
      <alignment horizontal="left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177" fontId="0" fillId="0" borderId="0" xfId="0" applyNumberFormat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8" xfId="0" applyNumberFormat="1" applyBorder="1" applyAlignment="1">
      <alignment/>
    </xf>
    <xf numFmtId="178" fontId="0" fillId="0" borderId="0" xfId="0" applyNumberFormat="1" applyFont="1" applyAlignment="1">
      <alignment/>
    </xf>
    <xf numFmtId="174" fontId="3" fillId="0" borderId="0" xfId="0" applyNumberFormat="1" applyFont="1" applyAlignment="1" applyProtection="1">
      <alignment/>
      <protection locked="0"/>
    </xf>
    <xf numFmtId="174" fontId="0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 quotePrefix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83" fontId="0" fillId="0" borderId="0" xfId="19" applyNumberFormat="1" applyFon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175" fontId="0" fillId="0" borderId="0" xfId="0" applyNumberFormat="1" applyFont="1" applyAlignment="1" quotePrefix="1">
      <alignment horizontal="right"/>
    </xf>
    <xf numFmtId="2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183" fontId="0" fillId="0" borderId="0" xfId="19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0" fillId="0" borderId="0" xfId="17" applyNumberFormat="1" applyFont="1" applyAlignment="1" applyProtection="1">
      <alignment/>
      <protection locked="0"/>
    </xf>
    <xf numFmtId="18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9" fontId="0" fillId="0" borderId="0" xfId="0" applyNumberFormat="1" applyFont="1" applyAlignment="1" applyProtection="1">
      <alignment/>
      <protection/>
    </xf>
    <xf numFmtId="17" fontId="9" fillId="0" borderId="0" xfId="0" applyNumberFormat="1" applyFont="1" applyAlignment="1">
      <alignment horizontal="center"/>
    </xf>
    <xf numFmtId="177" fontId="0" fillId="0" borderId="0" xfId="0" applyNumberFormat="1" applyFont="1" applyAlignment="1" applyProtection="1">
      <alignment/>
      <protection/>
    </xf>
    <xf numFmtId="177" fontId="0" fillId="0" borderId="4" xfId="0" applyNumberFormat="1" applyBorder="1" applyAlignment="1">
      <alignment/>
    </xf>
    <xf numFmtId="177" fontId="4" fillId="0" borderId="0" xfId="0" applyNumberFormat="1" applyFont="1" applyAlignment="1">
      <alignment/>
    </xf>
    <xf numFmtId="177" fontId="1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 horizontal="left"/>
    </xf>
    <xf numFmtId="177" fontId="0" fillId="0" borderId="0" xfId="0" applyNumberFormat="1" applyAlignment="1" quotePrefix="1">
      <alignment/>
    </xf>
    <xf numFmtId="184" fontId="0" fillId="0" borderId="4" xfId="0" applyNumberFormat="1" applyBorder="1" applyAlignment="1">
      <alignment/>
    </xf>
    <xf numFmtId="0" fontId="0" fillId="2" borderId="0" xfId="0" applyFont="1" applyFill="1" applyAlignment="1">
      <alignment/>
    </xf>
    <xf numFmtId="43" fontId="0" fillId="2" borderId="0" xfId="0" applyNumberFormat="1" applyFont="1" applyFill="1" applyAlignment="1">
      <alignment/>
    </xf>
    <xf numFmtId="0" fontId="0" fillId="2" borderId="0" xfId="0" applyFont="1" applyFill="1" applyAlignment="1" quotePrefix="1">
      <alignment horizontal="left"/>
    </xf>
    <xf numFmtId="0" fontId="2" fillId="0" borderId="0" xfId="0" applyFont="1" applyAlignment="1" quotePrefix="1">
      <alignment/>
    </xf>
    <xf numFmtId="177" fontId="0" fillId="0" borderId="10" xfId="0" applyNumberFormat="1" applyBorder="1" applyAlignment="1">
      <alignment/>
    </xf>
    <xf numFmtId="10" fontId="0" fillId="0" borderId="5" xfId="21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10" xfId="21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7" xfId="21" applyNumberFormat="1" applyBorder="1" applyAlignment="1">
      <alignment/>
    </xf>
    <xf numFmtId="10" fontId="0" fillId="0" borderId="8" xfId="21" applyNumberFormat="1" applyBorder="1" applyAlignment="1">
      <alignment/>
    </xf>
    <xf numFmtId="177" fontId="0" fillId="0" borderId="12" xfId="17" applyNumberFormat="1" applyBorder="1" applyAlignment="1">
      <alignment/>
    </xf>
    <xf numFmtId="0" fontId="0" fillId="0" borderId="3" xfId="0" applyBorder="1" applyAlignment="1">
      <alignment/>
    </xf>
    <xf numFmtId="179" fontId="0" fillId="0" borderId="3" xfId="0" applyNumberFormat="1" applyBorder="1" applyAlignment="1">
      <alignment/>
    </xf>
    <xf numFmtId="179" fontId="0" fillId="0" borderId="8" xfId="0" applyNumberFormat="1" applyBorder="1" applyAlignment="1">
      <alignment/>
    </xf>
    <xf numFmtId="43" fontId="4" fillId="2" borderId="0" xfId="17" applyFont="1" applyFill="1" applyAlignment="1">
      <alignment/>
    </xf>
    <xf numFmtId="9" fontId="4" fillId="2" borderId="0" xfId="21" applyFont="1" applyFill="1" applyAlignment="1">
      <alignment/>
    </xf>
    <xf numFmtId="43" fontId="4" fillId="2" borderId="0" xfId="0" applyNumberFormat="1" applyFont="1" applyFill="1" applyAlignment="1">
      <alignment/>
    </xf>
    <xf numFmtId="0" fontId="4" fillId="2" borderId="0" xfId="0" applyFont="1" applyFill="1" applyAlignment="1" quotePrefix="1">
      <alignment horizontal="left"/>
    </xf>
    <xf numFmtId="0" fontId="17" fillId="0" borderId="0" xfId="0" applyFont="1" applyAlignment="1" quotePrefix="1">
      <alignment horizontal="left"/>
    </xf>
    <xf numFmtId="3" fontId="17" fillId="0" borderId="3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5" xfId="0" applyNumberFormat="1" applyBorder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177" fontId="0" fillId="0" borderId="2" xfId="0" applyNumberFormat="1" applyBorder="1" applyAlignment="1" applyProtection="1">
      <alignment/>
      <protection/>
    </xf>
    <xf numFmtId="177" fontId="0" fillId="0" borderId="1" xfId="0" applyNumberFormat="1" applyBorder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5" xfId="0" applyNumberFormat="1" applyBorder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3</xdr:row>
      <xdr:rowOff>95250</xdr:rowOff>
    </xdr:from>
    <xdr:to>
      <xdr:col>4</xdr:col>
      <xdr:colOff>609600</xdr:colOff>
      <xdr:row>3</xdr:row>
      <xdr:rowOff>95250</xdr:rowOff>
    </xdr:to>
    <xdr:sp>
      <xdr:nvSpPr>
        <xdr:cNvPr id="1" name="Line 24"/>
        <xdr:cNvSpPr>
          <a:spLocks/>
        </xdr:cNvSpPr>
      </xdr:nvSpPr>
      <xdr:spPr>
        <a:xfrm>
          <a:off x="4476750" y="581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85725</xdr:colOff>
      <xdr:row>0</xdr:row>
      <xdr:rowOff>0</xdr:rowOff>
    </xdr:from>
    <xdr:ext cx="76200" cy="200025"/>
    <xdr:sp>
      <xdr:nvSpPr>
        <xdr:cNvPr id="2" name="TextBox 27"/>
        <xdr:cNvSpPr txBox="1">
          <a:spLocks noChangeArrowheads="1"/>
        </xdr:cNvSpPr>
      </xdr:nvSpPr>
      <xdr:spPr>
        <a:xfrm>
          <a:off x="4924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0</xdr:row>
      <xdr:rowOff>0</xdr:rowOff>
    </xdr:from>
    <xdr:ext cx="76200" cy="200025"/>
    <xdr:sp>
      <xdr:nvSpPr>
        <xdr:cNvPr id="3" name="TextBox 28"/>
        <xdr:cNvSpPr txBox="1">
          <a:spLocks noChangeArrowheads="1"/>
        </xdr:cNvSpPr>
      </xdr:nvSpPr>
      <xdr:spPr>
        <a:xfrm>
          <a:off x="51625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0</xdr:row>
      <xdr:rowOff>0</xdr:rowOff>
    </xdr:from>
    <xdr:ext cx="76200" cy="200025"/>
    <xdr:sp>
      <xdr:nvSpPr>
        <xdr:cNvPr id="4" name="TextBox 29"/>
        <xdr:cNvSpPr txBox="1">
          <a:spLocks noChangeArrowheads="1"/>
        </xdr:cNvSpPr>
      </xdr:nvSpPr>
      <xdr:spPr>
        <a:xfrm>
          <a:off x="5686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190500</xdr:colOff>
      <xdr:row>6</xdr:row>
      <xdr:rowOff>142875</xdr:rowOff>
    </xdr:from>
    <xdr:to>
      <xdr:col>3</xdr:col>
      <xdr:colOff>457200</xdr:colOff>
      <xdr:row>7</xdr:row>
      <xdr:rowOff>114300</xdr:rowOff>
    </xdr:to>
    <xdr:sp>
      <xdr:nvSpPr>
        <xdr:cNvPr id="5" name="Rectangle 30"/>
        <xdr:cNvSpPr>
          <a:spLocks/>
        </xdr:cNvSpPr>
      </xdr:nvSpPr>
      <xdr:spPr>
        <a:xfrm>
          <a:off x="3419475" y="1114425"/>
          <a:ext cx="2667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Poso</a:t>
          </a:r>
        </a:p>
      </xdr:txBody>
    </xdr:sp>
    <xdr:clientData/>
  </xdr:twoCellAnchor>
  <xdr:twoCellAnchor>
    <xdr:from>
      <xdr:col>4</xdr:col>
      <xdr:colOff>619125</xdr:colOff>
      <xdr:row>3</xdr:row>
      <xdr:rowOff>9525</xdr:rowOff>
    </xdr:from>
    <xdr:to>
      <xdr:col>5</xdr:col>
      <xdr:colOff>47625</xdr:colOff>
      <xdr:row>9</xdr:row>
      <xdr:rowOff>76200</xdr:rowOff>
    </xdr:to>
    <xdr:sp>
      <xdr:nvSpPr>
        <xdr:cNvPr id="6" name="Rectangle 31"/>
        <xdr:cNvSpPr>
          <a:spLocks/>
        </xdr:cNvSpPr>
      </xdr:nvSpPr>
      <xdr:spPr>
        <a:xfrm>
          <a:off x="4543425" y="495300"/>
          <a:ext cx="3429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Reservorio
1500
m2</a:t>
          </a:r>
        </a:p>
      </xdr:txBody>
    </xdr:sp>
    <xdr:clientData/>
  </xdr:twoCellAnchor>
  <xdr:twoCellAnchor>
    <xdr:from>
      <xdr:col>4</xdr:col>
      <xdr:colOff>9525</xdr:colOff>
      <xdr:row>1</xdr:row>
      <xdr:rowOff>114300</xdr:rowOff>
    </xdr:from>
    <xdr:to>
      <xdr:col>8</xdr:col>
      <xdr:colOff>752475</xdr:colOff>
      <xdr:row>2</xdr:row>
      <xdr:rowOff>123825</xdr:rowOff>
    </xdr:to>
    <xdr:sp>
      <xdr:nvSpPr>
        <xdr:cNvPr id="7" name="Rectangle 32"/>
        <xdr:cNvSpPr>
          <a:spLocks/>
        </xdr:cNvSpPr>
      </xdr:nvSpPr>
      <xdr:spPr>
        <a:xfrm>
          <a:off x="3933825" y="276225"/>
          <a:ext cx="401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Río
Rio</a:t>
          </a:r>
        </a:p>
      </xdr:txBody>
    </xdr:sp>
    <xdr:clientData/>
  </xdr:twoCellAnchor>
  <xdr:twoCellAnchor>
    <xdr:from>
      <xdr:col>3</xdr:col>
      <xdr:colOff>685800</xdr:colOff>
      <xdr:row>10</xdr:row>
      <xdr:rowOff>123825</xdr:rowOff>
    </xdr:from>
    <xdr:to>
      <xdr:col>8</xdr:col>
      <xdr:colOff>828675</xdr:colOff>
      <xdr:row>11</xdr:row>
      <xdr:rowOff>142875</xdr:rowOff>
    </xdr:to>
    <xdr:sp>
      <xdr:nvSpPr>
        <xdr:cNvPr id="8" name="Rectangle 33"/>
        <xdr:cNvSpPr>
          <a:spLocks/>
        </xdr:cNvSpPr>
      </xdr:nvSpPr>
      <xdr:spPr>
        <a:xfrm>
          <a:off x="3914775" y="1743075"/>
          <a:ext cx="410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Estero, drenaje</a:t>
          </a:r>
        </a:p>
      </xdr:txBody>
    </xdr:sp>
    <xdr:clientData/>
  </xdr:twoCellAnchor>
  <xdr:twoCellAnchor>
    <xdr:from>
      <xdr:col>5</xdr:col>
      <xdr:colOff>123825</xdr:colOff>
      <xdr:row>2</xdr:row>
      <xdr:rowOff>114300</xdr:rowOff>
    </xdr:from>
    <xdr:to>
      <xdr:col>8</xdr:col>
      <xdr:colOff>571500</xdr:colOff>
      <xdr:row>4</xdr:row>
      <xdr:rowOff>19050</xdr:rowOff>
    </xdr:to>
    <xdr:sp>
      <xdr:nvSpPr>
        <xdr:cNvPr id="9" name="Rectangle 34"/>
        <xdr:cNvSpPr>
          <a:spLocks/>
        </xdr:cNvSpPr>
      </xdr:nvSpPr>
      <xdr:spPr>
        <a:xfrm>
          <a:off x="4962525" y="438150"/>
          <a:ext cx="2800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Apareo, 3000 m2</a:t>
          </a:r>
        </a:p>
      </xdr:txBody>
    </xdr:sp>
    <xdr:clientData/>
  </xdr:twoCellAnchor>
  <xdr:twoCellAnchor>
    <xdr:from>
      <xdr:col>5</xdr:col>
      <xdr:colOff>123825</xdr:colOff>
      <xdr:row>4</xdr:row>
      <xdr:rowOff>57150</xdr:rowOff>
    </xdr:from>
    <xdr:to>
      <xdr:col>8</xdr:col>
      <xdr:colOff>552450</xdr:colOff>
      <xdr:row>5</xdr:row>
      <xdr:rowOff>123825</xdr:rowOff>
    </xdr:to>
    <xdr:sp>
      <xdr:nvSpPr>
        <xdr:cNvPr id="10" name="Rectangle 35"/>
        <xdr:cNvSpPr>
          <a:spLocks/>
        </xdr:cNvSpPr>
      </xdr:nvSpPr>
      <xdr:spPr>
        <a:xfrm>
          <a:off x="4962525" y="704850"/>
          <a:ext cx="2781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Apareo</a:t>
          </a:r>
        </a:p>
      </xdr:txBody>
    </xdr:sp>
    <xdr:clientData/>
  </xdr:twoCellAnchor>
  <xdr:twoCellAnchor>
    <xdr:from>
      <xdr:col>4</xdr:col>
      <xdr:colOff>238125</xdr:colOff>
      <xdr:row>5</xdr:row>
      <xdr:rowOff>47625</xdr:rowOff>
    </xdr:from>
    <xdr:to>
      <xdr:col>4</xdr:col>
      <xdr:colOff>314325</xdr:colOff>
      <xdr:row>5</xdr:row>
      <xdr:rowOff>142875</xdr:rowOff>
    </xdr:to>
    <xdr:sp>
      <xdr:nvSpPr>
        <xdr:cNvPr id="11" name="Oval 36"/>
        <xdr:cNvSpPr>
          <a:spLocks/>
        </xdr:cNvSpPr>
      </xdr:nvSpPr>
      <xdr:spPr>
        <a:xfrm>
          <a:off x="4162425" y="85725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5</xdr:row>
      <xdr:rowOff>38100</xdr:rowOff>
    </xdr:from>
    <xdr:to>
      <xdr:col>4</xdr:col>
      <xdr:colOff>457200</xdr:colOff>
      <xdr:row>5</xdr:row>
      <xdr:rowOff>133350</xdr:rowOff>
    </xdr:to>
    <xdr:sp>
      <xdr:nvSpPr>
        <xdr:cNvPr id="12" name="Oval 37"/>
        <xdr:cNvSpPr>
          <a:spLocks/>
        </xdr:cNvSpPr>
      </xdr:nvSpPr>
      <xdr:spPr>
        <a:xfrm>
          <a:off x="4305300" y="847725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38100</xdr:rowOff>
    </xdr:from>
    <xdr:to>
      <xdr:col>4</xdr:col>
      <xdr:colOff>323850</xdr:colOff>
      <xdr:row>6</xdr:row>
      <xdr:rowOff>133350</xdr:rowOff>
    </xdr:to>
    <xdr:sp>
      <xdr:nvSpPr>
        <xdr:cNvPr id="13" name="Oval 38"/>
        <xdr:cNvSpPr>
          <a:spLocks/>
        </xdr:cNvSpPr>
      </xdr:nvSpPr>
      <xdr:spPr>
        <a:xfrm>
          <a:off x="4171950" y="100965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6</xdr:row>
      <xdr:rowOff>28575</xdr:rowOff>
    </xdr:from>
    <xdr:to>
      <xdr:col>4</xdr:col>
      <xdr:colOff>466725</xdr:colOff>
      <xdr:row>6</xdr:row>
      <xdr:rowOff>123825</xdr:rowOff>
    </xdr:to>
    <xdr:sp>
      <xdr:nvSpPr>
        <xdr:cNvPr id="14" name="Oval 39"/>
        <xdr:cNvSpPr>
          <a:spLocks/>
        </xdr:cNvSpPr>
      </xdr:nvSpPr>
      <xdr:spPr>
        <a:xfrm>
          <a:off x="4314825" y="1000125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7</xdr:row>
      <xdr:rowOff>28575</xdr:rowOff>
    </xdr:from>
    <xdr:to>
      <xdr:col>4</xdr:col>
      <xdr:colOff>466725</xdr:colOff>
      <xdr:row>7</xdr:row>
      <xdr:rowOff>123825</xdr:rowOff>
    </xdr:to>
    <xdr:sp>
      <xdr:nvSpPr>
        <xdr:cNvPr id="15" name="Oval 40"/>
        <xdr:cNvSpPr>
          <a:spLocks/>
        </xdr:cNvSpPr>
      </xdr:nvSpPr>
      <xdr:spPr>
        <a:xfrm>
          <a:off x="4314825" y="116205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28575</xdr:rowOff>
    </xdr:from>
    <xdr:to>
      <xdr:col>4</xdr:col>
      <xdr:colOff>323850</xdr:colOff>
      <xdr:row>7</xdr:row>
      <xdr:rowOff>123825</xdr:rowOff>
    </xdr:to>
    <xdr:sp>
      <xdr:nvSpPr>
        <xdr:cNvPr id="16" name="Oval 41"/>
        <xdr:cNvSpPr>
          <a:spLocks/>
        </xdr:cNvSpPr>
      </xdr:nvSpPr>
      <xdr:spPr>
        <a:xfrm>
          <a:off x="4171950" y="116205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19050</xdr:rowOff>
    </xdr:from>
    <xdr:to>
      <xdr:col>4</xdr:col>
      <xdr:colOff>552450</xdr:colOff>
      <xdr:row>4</xdr:row>
      <xdr:rowOff>95250</xdr:rowOff>
    </xdr:to>
    <xdr:sp>
      <xdr:nvSpPr>
        <xdr:cNvPr id="17" name="Rectangle 42"/>
        <xdr:cNvSpPr>
          <a:spLocks/>
        </xdr:cNvSpPr>
      </xdr:nvSpPr>
      <xdr:spPr>
        <a:xfrm>
          <a:off x="3933825" y="504825"/>
          <a:ext cx="542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res. Tanques</a:t>
          </a:r>
        </a:p>
      </xdr:txBody>
    </xdr:sp>
    <xdr:clientData/>
  </xdr:twoCellAnchor>
  <xdr:twoCellAnchor>
    <xdr:from>
      <xdr:col>4</xdr:col>
      <xdr:colOff>0</xdr:colOff>
      <xdr:row>8</xdr:row>
      <xdr:rowOff>85725</xdr:rowOff>
    </xdr:from>
    <xdr:to>
      <xdr:col>4</xdr:col>
      <xdr:colOff>276225</xdr:colOff>
      <xdr:row>9</xdr:row>
      <xdr:rowOff>28575</xdr:rowOff>
    </xdr:to>
    <xdr:sp>
      <xdr:nvSpPr>
        <xdr:cNvPr id="18" name="Rectangle 43"/>
        <xdr:cNvSpPr>
          <a:spLocks/>
        </xdr:cNvSpPr>
      </xdr:nvSpPr>
      <xdr:spPr>
        <a:xfrm>
          <a:off x="3924300" y="1381125"/>
          <a:ext cx="2762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</xdr:row>
      <xdr:rowOff>85725</xdr:rowOff>
    </xdr:from>
    <xdr:to>
      <xdr:col>3</xdr:col>
      <xdr:colOff>619125</xdr:colOff>
      <xdr:row>9</xdr:row>
      <xdr:rowOff>28575</xdr:rowOff>
    </xdr:to>
    <xdr:sp>
      <xdr:nvSpPr>
        <xdr:cNvPr id="19" name="Rectangle 44"/>
        <xdr:cNvSpPr>
          <a:spLocks/>
        </xdr:cNvSpPr>
      </xdr:nvSpPr>
      <xdr:spPr>
        <a:xfrm>
          <a:off x="3571875" y="1381125"/>
          <a:ext cx="2762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</xdr:row>
      <xdr:rowOff>142875</xdr:rowOff>
    </xdr:from>
    <xdr:to>
      <xdr:col>4</xdr:col>
      <xdr:colOff>19050</xdr:colOff>
      <xdr:row>6</xdr:row>
      <xdr:rowOff>142875</xdr:rowOff>
    </xdr:to>
    <xdr:sp>
      <xdr:nvSpPr>
        <xdr:cNvPr id="20" name="Line 45"/>
        <xdr:cNvSpPr>
          <a:spLocks/>
        </xdr:cNvSpPr>
      </xdr:nvSpPr>
      <xdr:spPr>
        <a:xfrm flipV="1">
          <a:off x="3552825" y="62865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3</xdr:row>
      <xdr:rowOff>19050</xdr:rowOff>
    </xdr:from>
    <xdr:to>
      <xdr:col>8</xdr:col>
      <xdr:colOff>733425</xdr:colOff>
      <xdr:row>9</xdr:row>
      <xdr:rowOff>38100</xdr:rowOff>
    </xdr:to>
    <xdr:sp>
      <xdr:nvSpPr>
        <xdr:cNvPr id="21" name="Rectangle 49"/>
        <xdr:cNvSpPr>
          <a:spLocks/>
        </xdr:cNvSpPr>
      </xdr:nvSpPr>
      <xdr:spPr>
        <a:xfrm>
          <a:off x="7820025" y="504825"/>
          <a:ext cx="1047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drena
j
e</a:t>
          </a:r>
        </a:p>
      </xdr:txBody>
    </xdr:sp>
    <xdr:clientData/>
  </xdr:twoCellAnchor>
  <xdr:twoCellAnchor>
    <xdr:from>
      <xdr:col>4</xdr:col>
      <xdr:colOff>352425</xdr:colOff>
      <xdr:row>5</xdr:row>
      <xdr:rowOff>28575</xdr:rowOff>
    </xdr:from>
    <xdr:to>
      <xdr:col>4</xdr:col>
      <xdr:colOff>352425</xdr:colOff>
      <xdr:row>9</xdr:row>
      <xdr:rowOff>47625</xdr:rowOff>
    </xdr:to>
    <xdr:sp>
      <xdr:nvSpPr>
        <xdr:cNvPr id="22" name="Line 50"/>
        <xdr:cNvSpPr>
          <a:spLocks/>
        </xdr:cNvSpPr>
      </xdr:nvSpPr>
      <xdr:spPr>
        <a:xfrm flipH="1">
          <a:off x="4276725" y="8382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38100</xdr:rowOff>
    </xdr:from>
    <xdr:to>
      <xdr:col>8</xdr:col>
      <xdr:colOff>571500</xdr:colOff>
      <xdr:row>4</xdr:row>
      <xdr:rowOff>38100</xdr:rowOff>
    </xdr:to>
    <xdr:sp>
      <xdr:nvSpPr>
        <xdr:cNvPr id="23" name="Line 52"/>
        <xdr:cNvSpPr>
          <a:spLocks/>
        </xdr:cNvSpPr>
      </xdr:nvSpPr>
      <xdr:spPr>
        <a:xfrm>
          <a:off x="4953000" y="685800"/>
          <a:ext cx="28098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152400</xdr:rowOff>
    </xdr:from>
    <xdr:to>
      <xdr:col>8</xdr:col>
      <xdr:colOff>561975</xdr:colOff>
      <xdr:row>5</xdr:row>
      <xdr:rowOff>152400</xdr:rowOff>
    </xdr:to>
    <xdr:sp>
      <xdr:nvSpPr>
        <xdr:cNvPr id="24" name="Line 57"/>
        <xdr:cNvSpPr>
          <a:spLocks/>
        </xdr:cNvSpPr>
      </xdr:nvSpPr>
      <xdr:spPr>
        <a:xfrm>
          <a:off x="4972050" y="962025"/>
          <a:ext cx="27813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28575</xdr:rowOff>
    </xdr:from>
    <xdr:to>
      <xdr:col>5</xdr:col>
      <xdr:colOff>76200</xdr:colOff>
      <xdr:row>9</xdr:row>
      <xdr:rowOff>0</xdr:rowOff>
    </xdr:to>
    <xdr:sp>
      <xdr:nvSpPr>
        <xdr:cNvPr id="25" name="Line 58"/>
        <xdr:cNvSpPr>
          <a:spLocks/>
        </xdr:cNvSpPr>
      </xdr:nvSpPr>
      <xdr:spPr>
        <a:xfrm>
          <a:off x="4914900" y="514350"/>
          <a:ext cx="0" cy="9429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</xdr:row>
      <xdr:rowOff>28575</xdr:rowOff>
    </xdr:from>
    <xdr:to>
      <xdr:col>4</xdr:col>
      <xdr:colOff>590550</xdr:colOff>
      <xdr:row>9</xdr:row>
      <xdr:rowOff>0</xdr:rowOff>
    </xdr:to>
    <xdr:sp>
      <xdr:nvSpPr>
        <xdr:cNvPr id="26" name="Line 59"/>
        <xdr:cNvSpPr>
          <a:spLocks/>
        </xdr:cNvSpPr>
      </xdr:nvSpPr>
      <xdr:spPr>
        <a:xfrm>
          <a:off x="4505325" y="514350"/>
          <a:ext cx="9525" cy="9429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123825</xdr:rowOff>
    </xdr:from>
    <xdr:to>
      <xdr:col>4</xdr:col>
      <xdr:colOff>590550</xdr:colOff>
      <xdr:row>4</xdr:row>
      <xdr:rowOff>123825</xdr:rowOff>
    </xdr:to>
    <xdr:sp>
      <xdr:nvSpPr>
        <xdr:cNvPr id="27" name="Line 60"/>
        <xdr:cNvSpPr>
          <a:spLocks/>
        </xdr:cNvSpPr>
      </xdr:nvSpPr>
      <xdr:spPr>
        <a:xfrm flipV="1">
          <a:off x="3895725" y="771525"/>
          <a:ext cx="619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3</xdr:row>
      <xdr:rowOff>19050</xdr:rowOff>
    </xdr:from>
    <xdr:to>
      <xdr:col>8</xdr:col>
      <xdr:colOff>600075</xdr:colOff>
      <xdr:row>9</xdr:row>
      <xdr:rowOff>47625</xdr:rowOff>
    </xdr:to>
    <xdr:sp>
      <xdr:nvSpPr>
        <xdr:cNvPr id="28" name="Line 61"/>
        <xdr:cNvSpPr>
          <a:spLocks/>
        </xdr:cNvSpPr>
      </xdr:nvSpPr>
      <xdr:spPr>
        <a:xfrm>
          <a:off x="7791450" y="504825"/>
          <a:ext cx="0" cy="10001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3</xdr:row>
      <xdr:rowOff>28575</xdr:rowOff>
    </xdr:from>
    <xdr:to>
      <xdr:col>8</xdr:col>
      <xdr:colOff>771525</xdr:colOff>
      <xdr:row>9</xdr:row>
      <xdr:rowOff>38100</xdr:rowOff>
    </xdr:to>
    <xdr:sp>
      <xdr:nvSpPr>
        <xdr:cNvPr id="29" name="Line 62"/>
        <xdr:cNvSpPr>
          <a:spLocks/>
        </xdr:cNvSpPr>
      </xdr:nvSpPr>
      <xdr:spPr>
        <a:xfrm>
          <a:off x="7962900" y="514350"/>
          <a:ext cx="0" cy="9810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3</xdr:row>
      <xdr:rowOff>19050</xdr:rowOff>
    </xdr:from>
    <xdr:to>
      <xdr:col>3</xdr:col>
      <xdr:colOff>666750</xdr:colOff>
      <xdr:row>4</xdr:row>
      <xdr:rowOff>142875</xdr:rowOff>
    </xdr:to>
    <xdr:sp>
      <xdr:nvSpPr>
        <xdr:cNvPr id="30" name="Line 64"/>
        <xdr:cNvSpPr>
          <a:spLocks/>
        </xdr:cNvSpPr>
      </xdr:nvSpPr>
      <xdr:spPr>
        <a:xfrm>
          <a:off x="3895725" y="504825"/>
          <a:ext cx="0" cy="2857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552450</xdr:colOff>
      <xdr:row>3</xdr:row>
      <xdr:rowOff>19050</xdr:rowOff>
    </xdr:from>
    <xdr:ext cx="142875" cy="200025"/>
    <xdr:sp>
      <xdr:nvSpPr>
        <xdr:cNvPr id="31" name="TextBox 66"/>
        <xdr:cNvSpPr txBox="1">
          <a:spLocks noChangeArrowheads="1"/>
        </xdr:cNvSpPr>
      </xdr:nvSpPr>
      <xdr:spPr>
        <a:xfrm>
          <a:off x="3781425" y="504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38100</xdr:colOff>
      <xdr:row>4</xdr:row>
      <xdr:rowOff>114300</xdr:rowOff>
    </xdr:from>
    <xdr:ext cx="142875" cy="200025"/>
    <xdr:sp>
      <xdr:nvSpPr>
        <xdr:cNvPr id="32" name="TextBox 68"/>
        <xdr:cNvSpPr txBox="1">
          <a:spLocks noChangeArrowheads="1"/>
        </xdr:cNvSpPr>
      </xdr:nvSpPr>
      <xdr:spPr>
        <a:xfrm>
          <a:off x="3962400" y="7620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466725</xdr:colOff>
      <xdr:row>5</xdr:row>
      <xdr:rowOff>95250</xdr:rowOff>
    </xdr:from>
    <xdr:ext cx="142875" cy="200025"/>
    <xdr:sp>
      <xdr:nvSpPr>
        <xdr:cNvPr id="33" name="TextBox 69"/>
        <xdr:cNvSpPr txBox="1">
          <a:spLocks noChangeArrowheads="1"/>
        </xdr:cNvSpPr>
      </xdr:nvSpPr>
      <xdr:spPr>
        <a:xfrm>
          <a:off x="4391025" y="904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866775</xdr:colOff>
      <xdr:row>7</xdr:row>
      <xdr:rowOff>19050</xdr:rowOff>
    </xdr:from>
    <xdr:ext cx="142875" cy="200025"/>
    <xdr:sp>
      <xdr:nvSpPr>
        <xdr:cNvPr id="34" name="TextBox 70"/>
        <xdr:cNvSpPr txBox="1">
          <a:spLocks noChangeArrowheads="1"/>
        </xdr:cNvSpPr>
      </xdr:nvSpPr>
      <xdr:spPr>
        <a:xfrm>
          <a:off x="4791075" y="1152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6</xdr:col>
      <xdr:colOff>638175</xdr:colOff>
      <xdr:row>3</xdr:row>
      <xdr:rowOff>19050</xdr:rowOff>
    </xdr:from>
    <xdr:ext cx="142875" cy="200025"/>
    <xdr:sp>
      <xdr:nvSpPr>
        <xdr:cNvPr id="35" name="TextBox 71"/>
        <xdr:cNvSpPr txBox="1">
          <a:spLocks noChangeArrowheads="1"/>
        </xdr:cNvSpPr>
      </xdr:nvSpPr>
      <xdr:spPr>
        <a:xfrm>
          <a:off x="6305550" y="504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6</xdr:col>
      <xdr:colOff>647700</xdr:colOff>
      <xdr:row>4</xdr:row>
      <xdr:rowOff>142875</xdr:rowOff>
    </xdr:from>
    <xdr:ext cx="142875" cy="200025"/>
    <xdr:sp>
      <xdr:nvSpPr>
        <xdr:cNvPr id="36" name="TextBox 72"/>
        <xdr:cNvSpPr txBox="1">
          <a:spLocks noChangeArrowheads="1"/>
        </xdr:cNvSpPr>
      </xdr:nvSpPr>
      <xdr:spPr>
        <a:xfrm>
          <a:off x="6315075" y="790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6</xdr:col>
      <xdr:colOff>419100</xdr:colOff>
      <xdr:row>9</xdr:row>
      <xdr:rowOff>9525</xdr:rowOff>
    </xdr:from>
    <xdr:ext cx="142875" cy="200025"/>
    <xdr:sp>
      <xdr:nvSpPr>
        <xdr:cNvPr id="37" name="TextBox 73"/>
        <xdr:cNvSpPr txBox="1">
          <a:spLocks noChangeArrowheads="1"/>
        </xdr:cNvSpPr>
      </xdr:nvSpPr>
      <xdr:spPr>
        <a:xfrm>
          <a:off x="6086475" y="14668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5</xdr:col>
      <xdr:colOff>466725</xdr:colOff>
      <xdr:row>9</xdr:row>
      <xdr:rowOff>123825</xdr:rowOff>
    </xdr:from>
    <xdr:ext cx="142875" cy="200025"/>
    <xdr:sp>
      <xdr:nvSpPr>
        <xdr:cNvPr id="38" name="TextBox 74"/>
        <xdr:cNvSpPr txBox="1">
          <a:spLocks noChangeArrowheads="1"/>
        </xdr:cNvSpPr>
      </xdr:nvSpPr>
      <xdr:spPr>
        <a:xfrm>
          <a:off x="5305425" y="15811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twoCellAnchor>
    <xdr:from>
      <xdr:col>4</xdr:col>
      <xdr:colOff>400050</xdr:colOff>
      <xdr:row>8</xdr:row>
      <xdr:rowOff>57150</xdr:rowOff>
    </xdr:from>
    <xdr:to>
      <xdr:col>4</xdr:col>
      <xdr:colOff>552450</xdr:colOff>
      <xdr:row>9</xdr:row>
      <xdr:rowOff>38100</xdr:rowOff>
    </xdr:to>
    <xdr:sp>
      <xdr:nvSpPr>
        <xdr:cNvPr id="39" name="TextBox 76"/>
        <xdr:cNvSpPr txBox="1">
          <a:spLocks noChangeArrowheads="1"/>
        </xdr:cNvSpPr>
      </xdr:nvSpPr>
      <xdr:spPr>
        <a:xfrm>
          <a:off x="4324350" y="13525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133350</xdr:colOff>
      <xdr:row>6</xdr:row>
      <xdr:rowOff>0</xdr:rowOff>
    </xdr:from>
    <xdr:to>
      <xdr:col>6</xdr:col>
      <xdr:colOff>695325</xdr:colOff>
      <xdr:row>7</xdr:row>
      <xdr:rowOff>38100</xdr:rowOff>
    </xdr:to>
    <xdr:sp>
      <xdr:nvSpPr>
        <xdr:cNvPr id="40" name="Rectangle 77"/>
        <xdr:cNvSpPr>
          <a:spLocks/>
        </xdr:cNvSpPr>
      </xdr:nvSpPr>
      <xdr:spPr>
        <a:xfrm>
          <a:off x="4972050" y="971550"/>
          <a:ext cx="1390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Mantenimiento</a:t>
          </a:r>
        </a:p>
      </xdr:txBody>
    </xdr:sp>
    <xdr:clientData/>
  </xdr:twoCellAnchor>
  <xdr:twoCellAnchor>
    <xdr:from>
      <xdr:col>5</xdr:col>
      <xdr:colOff>114300</xdr:colOff>
      <xdr:row>7</xdr:row>
      <xdr:rowOff>95250</xdr:rowOff>
    </xdr:from>
    <xdr:to>
      <xdr:col>6</xdr:col>
      <xdr:colOff>695325</xdr:colOff>
      <xdr:row>9</xdr:row>
      <xdr:rowOff>38100</xdr:rowOff>
    </xdr:to>
    <xdr:sp>
      <xdr:nvSpPr>
        <xdr:cNvPr id="41" name="Rectangle 78"/>
        <xdr:cNvSpPr>
          <a:spLocks/>
        </xdr:cNvSpPr>
      </xdr:nvSpPr>
      <xdr:spPr>
        <a:xfrm>
          <a:off x="4953000" y="1228725"/>
          <a:ext cx="1409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Levante</a:t>
          </a:r>
        </a:p>
      </xdr:txBody>
    </xdr:sp>
    <xdr:clientData/>
  </xdr:twoCellAnchor>
  <xdr:twoCellAnchor>
    <xdr:from>
      <xdr:col>5</xdr:col>
      <xdr:colOff>152400</xdr:colOff>
      <xdr:row>7</xdr:row>
      <xdr:rowOff>66675</xdr:rowOff>
    </xdr:from>
    <xdr:to>
      <xdr:col>6</xdr:col>
      <xdr:colOff>704850</xdr:colOff>
      <xdr:row>7</xdr:row>
      <xdr:rowOff>66675</xdr:rowOff>
    </xdr:to>
    <xdr:sp>
      <xdr:nvSpPr>
        <xdr:cNvPr id="42" name="Line 80"/>
        <xdr:cNvSpPr>
          <a:spLocks/>
        </xdr:cNvSpPr>
      </xdr:nvSpPr>
      <xdr:spPr>
        <a:xfrm>
          <a:off x="4991100" y="1200150"/>
          <a:ext cx="13811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409575</xdr:colOff>
      <xdr:row>7</xdr:row>
      <xdr:rowOff>19050</xdr:rowOff>
    </xdr:from>
    <xdr:ext cx="219075" cy="200025"/>
    <xdr:sp>
      <xdr:nvSpPr>
        <xdr:cNvPr id="43" name="TextBox 81"/>
        <xdr:cNvSpPr txBox="1">
          <a:spLocks noChangeArrowheads="1"/>
        </xdr:cNvSpPr>
      </xdr:nvSpPr>
      <xdr:spPr>
        <a:xfrm>
          <a:off x="7600950" y="115252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twoCellAnchor>
    <xdr:from>
      <xdr:col>5</xdr:col>
      <xdr:colOff>123825</xdr:colOff>
      <xdr:row>9</xdr:row>
      <xdr:rowOff>47625</xdr:rowOff>
    </xdr:from>
    <xdr:to>
      <xdr:col>5</xdr:col>
      <xdr:colOff>476250</xdr:colOff>
      <xdr:row>10</xdr:row>
      <xdr:rowOff>57150</xdr:rowOff>
    </xdr:to>
    <xdr:sp>
      <xdr:nvSpPr>
        <xdr:cNvPr id="44" name="Rectangle 82"/>
        <xdr:cNvSpPr>
          <a:spLocks/>
        </xdr:cNvSpPr>
      </xdr:nvSpPr>
      <xdr:spPr>
        <a:xfrm>
          <a:off x="4962525" y="150495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Post -adaptación y mantenimiento reversados</a:t>
          </a:r>
        </a:p>
      </xdr:txBody>
    </xdr:sp>
    <xdr:clientData/>
  </xdr:twoCellAnchor>
  <xdr:twoCellAnchor>
    <xdr:from>
      <xdr:col>5</xdr:col>
      <xdr:colOff>133350</xdr:colOff>
      <xdr:row>9</xdr:row>
      <xdr:rowOff>19050</xdr:rowOff>
    </xdr:from>
    <xdr:to>
      <xdr:col>6</xdr:col>
      <xdr:colOff>714375</xdr:colOff>
      <xdr:row>9</xdr:row>
      <xdr:rowOff>19050</xdr:rowOff>
    </xdr:to>
    <xdr:sp>
      <xdr:nvSpPr>
        <xdr:cNvPr id="45" name="Line 83"/>
        <xdr:cNvSpPr>
          <a:spLocks/>
        </xdr:cNvSpPr>
      </xdr:nvSpPr>
      <xdr:spPr>
        <a:xfrm>
          <a:off x="4972050" y="1476375"/>
          <a:ext cx="1409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342900</xdr:colOff>
      <xdr:row>6</xdr:row>
      <xdr:rowOff>38100</xdr:rowOff>
    </xdr:from>
    <xdr:ext cx="142875" cy="200025"/>
    <xdr:sp>
      <xdr:nvSpPr>
        <xdr:cNvPr id="46" name="TextBox 85"/>
        <xdr:cNvSpPr txBox="1">
          <a:spLocks noChangeArrowheads="1"/>
        </xdr:cNvSpPr>
      </xdr:nvSpPr>
      <xdr:spPr>
        <a:xfrm>
          <a:off x="6010275" y="10096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twoCellAnchor>
    <xdr:from>
      <xdr:col>5</xdr:col>
      <xdr:colOff>114300</xdr:colOff>
      <xdr:row>10</xdr:row>
      <xdr:rowOff>85725</xdr:rowOff>
    </xdr:from>
    <xdr:to>
      <xdr:col>5</xdr:col>
      <xdr:colOff>485775</xdr:colOff>
      <xdr:row>10</xdr:row>
      <xdr:rowOff>85725</xdr:rowOff>
    </xdr:to>
    <xdr:sp>
      <xdr:nvSpPr>
        <xdr:cNvPr id="47" name="Line 86"/>
        <xdr:cNvSpPr>
          <a:spLocks/>
        </xdr:cNvSpPr>
      </xdr:nvSpPr>
      <xdr:spPr>
        <a:xfrm>
          <a:off x="4953000" y="1704975"/>
          <a:ext cx="3714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762000</xdr:colOff>
      <xdr:row>4</xdr:row>
      <xdr:rowOff>152400</xdr:rowOff>
    </xdr:from>
    <xdr:ext cx="219075" cy="200025"/>
    <xdr:sp>
      <xdr:nvSpPr>
        <xdr:cNvPr id="48" name="TextBox 87"/>
        <xdr:cNvSpPr txBox="1">
          <a:spLocks noChangeArrowheads="1"/>
        </xdr:cNvSpPr>
      </xdr:nvSpPr>
      <xdr:spPr>
        <a:xfrm>
          <a:off x="7953375" y="8001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twoCellAnchor>
    <xdr:from>
      <xdr:col>8</xdr:col>
      <xdr:colOff>600075</xdr:colOff>
      <xdr:row>9</xdr:row>
      <xdr:rowOff>85725</xdr:rowOff>
    </xdr:from>
    <xdr:to>
      <xdr:col>8</xdr:col>
      <xdr:colOff>742950</xdr:colOff>
      <xdr:row>9</xdr:row>
      <xdr:rowOff>85725</xdr:rowOff>
    </xdr:to>
    <xdr:sp>
      <xdr:nvSpPr>
        <xdr:cNvPr id="49" name="Line 88"/>
        <xdr:cNvSpPr>
          <a:spLocks/>
        </xdr:cNvSpPr>
      </xdr:nvSpPr>
      <xdr:spPr>
        <a:xfrm>
          <a:off x="7791450" y="1543050"/>
          <a:ext cx="1428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590550</xdr:colOff>
      <xdr:row>9</xdr:row>
      <xdr:rowOff>95250</xdr:rowOff>
    </xdr:from>
    <xdr:ext cx="219075" cy="200025"/>
    <xdr:sp>
      <xdr:nvSpPr>
        <xdr:cNvPr id="50" name="TextBox 89"/>
        <xdr:cNvSpPr txBox="1">
          <a:spLocks noChangeArrowheads="1"/>
        </xdr:cNvSpPr>
      </xdr:nvSpPr>
      <xdr:spPr>
        <a:xfrm>
          <a:off x="7781925" y="155257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3</xdr:col>
      <xdr:colOff>542925</xdr:colOff>
      <xdr:row>5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4676775" y="133350"/>
          <a:ext cx="4476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ciclo
31 d</a:t>
          </a:r>
        </a:p>
      </xdr:txBody>
    </xdr:sp>
    <xdr:clientData/>
  </xdr:twoCellAnchor>
  <xdr:twoCellAnchor>
    <xdr:from>
      <xdr:col>3</xdr:col>
      <xdr:colOff>752475</xdr:colOff>
      <xdr:row>0</xdr:row>
      <xdr:rowOff>142875</xdr:rowOff>
    </xdr:from>
    <xdr:to>
      <xdr:col>4</xdr:col>
      <xdr:colOff>400050</xdr:colOff>
      <xdr:row>5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5334000" y="142875"/>
          <a:ext cx="4095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ciclo 7 d H</a:t>
          </a:r>
        </a:p>
      </xdr:txBody>
    </xdr:sp>
    <xdr:clientData/>
  </xdr:twoCellAnchor>
  <xdr:twoCellAnchor>
    <xdr:from>
      <xdr:col>3</xdr:col>
      <xdr:colOff>752475</xdr:colOff>
      <xdr:row>3</xdr:row>
      <xdr:rowOff>76200</xdr:rowOff>
    </xdr:from>
    <xdr:to>
      <xdr:col>4</xdr:col>
      <xdr:colOff>400050</xdr:colOff>
      <xdr:row>5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5334000" y="561975"/>
          <a:ext cx="409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2</xdr:col>
      <xdr:colOff>409575</xdr:colOff>
      <xdr:row>0</xdr:row>
      <xdr:rowOff>47625</xdr:rowOff>
    </xdr:from>
    <xdr:to>
      <xdr:col>3</xdr:col>
      <xdr:colOff>238125</xdr:colOff>
      <xdr:row>6</xdr:row>
      <xdr:rowOff>123825</xdr:rowOff>
    </xdr:to>
    <xdr:sp>
      <xdr:nvSpPr>
        <xdr:cNvPr id="4" name="AutoShape 13"/>
        <xdr:cNvSpPr>
          <a:spLocks/>
        </xdr:cNvSpPr>
      </xdr:nvSpPr>
      <xdr:spPr>
        <a:xfrm>
          <a:off x="4229100" y="47625"/>
          <a:ext cx="5905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38100</xdr:rowOff>
    </xdr:from>
    <xdr:to>
      <xdr:col>4</xdr:col>
      <xdr:colOff>742950</xdr:colOff>
      <xdr:row>6</xdr:row>
      <xdr:rowOff>104775</xdr:rowOff>
    </xdr:to>
    <xdr:sp>
      <xdr:nvSpPr>
        <xdr:cNvPr id="5" name="AutoShape 14"/>
        <xdr:cNvSpPr>
          <a:spLocks/>
        </xdr:cNvSpPr>
      </xdr:nvSpPr>
      <xdr:spPr>
        <a:xfrm>
          <a:off x="5610225" y="38100"/>
          <a:ext cx="47625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</xdr:row>
      <xdr:rowOff>152400</xdr:rowOff>
    </xdr:from>
    <xdr:to>
      <xdr:col>7</xdr:col>
      <xdr:colOff>47625</xdr:colOff>
      <xdr:row>2</xdr:row>
      <xdr:rowOff>85725</xdr:rowOff>
    </xdr:to>
    <xdr:sp>
      <xdr:nvSpPr>
        <xdr:cNvPr id="6" name="Line 15"/>
        <xdr:cNvSpPr>
          <a:spLocks/>
        </xdr:cNvSpPr>
      </xdr:nvSpPr>
      <xdr:spPr>
        <a:xfrm flipV="1">
          <a:off x="5857875" y="314325"/>
          <a:ext cx="657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15</xdr:row>
      <xdr:rowOff>47625</xdr:rowOff>
    </xdr:from>
    <xdr:to>
      <xdr:col>4</xdr:col>
      <xdr:colOff>676275</xdr:colOff>
      <xdr:row>15</xdr:row>
      <xdr:rowOff>142875</xdr:rowOff>
    </xdr:to>
    <xdr:sp>
      <xdr:nvSpPr>
        <xdr:cNvPr id="1" name="Oval 1"/>
        <xdr:cNvSpPr>
          <a:spLocks/>
        </xdr:cNvSpPr>
      </xdr:nvSpPr>
      <xdr:spPr>
        <a:xfrm>
          <a:off x="4333875" y="247650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16</xdr:row>
      <xdr:rowOff>47625</xdr:rowOff>
    </xdr:from>
    <xdr:to>
      <xdr:col>4</xdr:col>
      <xdr:colOff>676275</xdr:colOff>
      <xdr:row>16</xdr:row>
      <xdr:rowOff>142875</xdr:rowOff>
    </xdr:to>
    <xdr:sp>
      <xdr:nvSpPr>
        <xdr:cNvPr id="2" name="Oval 2"/>
        <xdr:cNvSpPr>
          <a:spLocks/>
        </xdr:cNvSpPr>
      </xdr:nvSpPr>
      <xdr:spPr>
        <a:xfrm>
          <a:off x="4333875" y="2638425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17</xdr:row>
      <xdr:rowOff>47625</xdr:rowOff>
    </xdr:from>
    <xdr:to>
      <xdr:col>4</xdr:col>
      <xdr:colOff>676275</xdr:colOff>
      <xdr:row>17</xdr:row>
      <xdr:rowOff>142875</xdr:rowOff>
    </xdr:to>
    <xdr:sp>
      <xdr:nvSpPr>
        <xdr:cNvPr id="3" name="Oval 3"/>
        <xdr:cNvSpPr>
          <a:spLocks/>
        </xdr:cNvSpPr>
      </xdr:nvSpPr>
      <xdr:spPr>
        <a:xfrm>
          <a:off x="4333875" y="280035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47625</xdr:rowOff>
    </xdr:from>
    <xdr:to>
      <xdr:col>5</xdr:col>
      <xdr:colOff>152400</xdr:colOff>
      <xdr:row>15</xdr:row>
      <xdr:rowOff>142875</xdr:rowOff>
    </xdr:to>
    <xdr:sp>
      <xdr:nvSpPr>
        <xdr:cNvPr id="4" name="Oval 4"/>
        <xdr:cNvSpPr>
          <a:spLocks/>
        </xdr:cNvSpPr>
      </xdr:nvSpPr>
      <xdr:spPr>
        <a:xfrm>
          <a:off x="4572000" y="2476500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16</xdr:row>
      <xdr:rowOff>47625</xdr:rowOff>
    </xdr:from>
    <xdr:to>
      <xdr:col>5</xdr:col>
      <xdr:colOff>152400</xdr:colOff>
      <xdr:row>16</xdr:row>
      <xdr:rowOff>142875</xdr:rowOff>
    </xdr:to>
    <xdr:sp>
      <xdr:nvSpPr>
        <xdr:cNvPr id="5" name="Oval 5"/>
        <xdr:cNvSpPr>
          <a:spLocks/>
        </xdr:cNvSpPr>
      </xdr:nvSpPr>
      <xdr:spPr>
        <a:xfrm>
          <a:off x="4572000" y="2638425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57150</xdr:rowOff>
    </xdr:from>
    <xdr:to>
      <xdr:col>5</xdr:col>
      <xdr:colOff>161925</xdr:colOff>
      <xdr:row>17</xdr:row>
      <xdr:rowOff>152400</xdr:rowOff>
    </xdr:to>
    <xdr:sp>
      <xdr:nvSpPr>
        <xdr:cNvPr id="6" name="Oval 6"/>
        <xdr:cNvSpPr>
          <a:spLocks/>
        </xdr:cNvSpPr>
      </xdr:nvSpPr>
      <xdr:spPr>
        <a:xfrm>
          <a:off x="4581525" y="2809875"/>
          <a:ext cx="762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19050</xdr:rowOff>
    </xdr:from>
    <xdr:to>
      <xdr:col>4</xdr:col>
      <xdr:colOff>609600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200525" y="2447925"/>
          <a:ext cx="1428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15</xdr:row>
      <xdr:rowOff>66675</xdr:rowOff>
    </xdr:from>
    <xdr:to>
      <xdr:col>4</xdr:col>
      <xdr:colOff>390525</xdr:colOff>
      <xdr:row>17</xdr:row>
      <xdr:rowOff>57150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95675" y="2495550"/>
          <a:ext cx="628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20metros</a:t>
          </a:r>
        </a:p>
      </xdr:txBody>
    </xdr:sp>
    <xdr:clientData/>
  </xdr:twoCellAnchor>
  <xdr:twoCellAnchor>
    <xdr:from>
      <xdr:col>4</xdr:col>
      <xdr:colOff>95250</xdr:colOff>
      <xdr:row>19</xdr:row>
      <xdr:rowOff>152400</xdr:rowOff>
    </xdr:from>
    <xdr:to>
      <xdr:col>5</xdr:col>
      <xdr:colOff>819150</xdr:colOff>
      <xdr:row>24</xdr:row>
      <xdr:rowOff>47625</xdr:rowOff>
    </xdr:to>
    <xdr:sp>
      <xdr:nvSpPr>
        <xdr:cNvPr id="9" name="Rectangle 10"/>
        <xdr:cNvSpPr>
          <a:spLocks/>
        </xdr:cNvSpPr>
      </xdr:nvSpPr>
      <xdr:spPr>
        <a:xfrm>
          <a:off x="3829050" y="3228975"/>
          <a:ext cx="14859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19</xdr:row>
      <xdr:rowOff>57150</xdr:rowOff>
    </xdr:from>
    <xdr:to>
      <xdr:col>5</xdr:col>
      <xdr:colOff>809625</xdr:colOff>
      <xdr:row>21</xdr:row>
      <xdr:rowOff>114300</xdr:rowOff>
    </xdr:to>
    <xdr:sp>
      <xdr:nvSpPr>
        <xdr:cNvPr id="10" name="Oval 11"/>
        <xdr:cNvSpPr>
          <a:spLocks/>
        </xdr:cNvSpPr>
      </xdr:nvSpPr>
      <xdr:spPr>
        <a:xfrm>
          <a:off x="3857625" y="3133725"/>
          <a:ext cx="14478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9525</xdr:rowOff>
    </xdr:from>
    <xdr:to>
      <xdr:col>4</xdr:col>
      <xdr:colOff>66675</xdr:colOff>
      <xdr:row>24</xdr:row>
      <xdr:rowOff>38100</xdr:rowOff>
    </xdr:to>
    <xdr:sp>
      <xdr:nvSpPr>
        <xdr:cNvPr id="11" name="Line 12"/>
        <xdr:cNvSpPr>
          <a:spLocks/>
        </xdr:cNvSpPr>
      </xdr:nvSpPr>
      <xdr:spPr>
        <a:xfrm>
          <a:off x="3800475" y="3409950"/>
          <a:ext cx="0" cy="5143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9525</xdr:rowOff>
    </xdr:from>
    <xdr:to>
      <xdr:col>4</xdr:col>
      <xdr:colOff>161925</xdr:colOff>
      <xdr:row>21</xdr:row>
      <xdr:rowOff>9525</xdr:rowOff>
    </xdr:to>
    <xdr:sp>
      <xdr:nvSpPr>
        <xdr:cNvPr id="12" name="Line 13"/>
        <xdr:cNvSpPr>
          <a:spLocks/>
        </xdr:cNvSpPr>
      </xdr:nvSpPr>
      <xdr:spPr>
        <a:xfrm>
          <a:off x="3819525" y="3409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21</xdr:row>
      <xdr:rowOff>19050</xdr:rowOff>
    </xdr:from>
    <xdr:to>
      <xdr:col>4</xdr:col>
      <xdr:colOff>171450</xdr:colOff>
      <xdr:row>22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895725" y="34194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22</xdr:row>
      <xdr:rowOff>9525</xdr:rowOff>
    </xdr:from>
    <xdr:to>
      <xdr:col>4</xdr:col>
      <xdr:colOff>228600</xdr:colOff>
      <xdr:row>22</xdr:row>
      <xdr:rowOff>28575</xdr:rowOff>
    </xdr:to>
    <xdr:sp>
      <xdr:nvSpPr>
        <xdr:cNvPr id="14" name="Line 21"/>
        <xdr:cNvSpPr>
          <a:spLocks/>
        </xdr:cNvSpPr>
      </xdr:nvSpPr>
      <xdr:spPr>
        <a:xfrm>
          <a:off x="3914775" y="3571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14</xdr:row>
      <xdr:rowOff>19050</xdr:rowOff>
    </xdr:from>
    <xdr:to>
      <xdr:col>4</xdr:col>
      <xdr:colOff>704850</xdr:colOff>
      <xdr:row>18</xdr:row>
      <xdr:rowOff>0</xdr:rowOff>
    </xdr:to>
    <xdr:sp>
      <xdr:nvSpPr>
        <xdr:cNvPr id="15" name="Line 22"/>
        <xdr:cNvSpPr>
          <a:spLocks/>
        </xdr:cNvSpPr>
      </xdr:nvSpPr>
      <xdr:spPr>
        <a:xfrm>
          <a:off x="4419600" y="2286000"/>
          <a:ext cx="19050" cy="6286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152400</xdr:rowOff>
    </xdr:from>
    <xdr:to>
      <xdr:col>5</xdr:col>
      <xdr:colOff>47625</xdr:colOff>
      <xdr:row>18</xdr:row>
      <xdr:rowOff>0</xdr:rowOff>
    </xdr:to>
    <xdr:sp>
      <xdr:nvSpPr>
        <xdr:cNvPr id="16" name="Line 23"/>
        <xdr:cNvSpPr>
          <a:spLocks/>
        </xdr:cNvSpPr>
      </xdr:nvSpPr>
      <xdr:spPr>
        <a:xfrm>
          <a:off x="4514850" y="2257425"/>
          <a:ext cx="28575" cy="6572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14</xdr:row>
      <xdr:rowOff>9525</xdr:rowOff>
    </xdr:from>
    <xdr:to>
      <xdr:col>5</xdr:col>
      <xdr:colOff>19050</xdr:colOff>
      <xdr:row>14</xdr:row>
      <xdr:rowOff>9525</xdr:rowOff>
    </xdr:to>
    <xdr:sp>
      <xdr:nvSpPr>
        <xdr:cNvPr id="17" name="Line 24"/>
        <xdr:cNvSpPr>
          <a:spLocks/>
        </xdr:cNvSpPr>
      </xdr:nvSpPr>
      <xdr:spPr>
        <a:xfrm>
          <a:off x="4419600" y="2276475"/>
          <a:ext cx="952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12</xdr:row>
      <xdr:rowOff>152400</xdr:rowOff>
    </xdr:from>
    <xdr:to>
      <xdr:col>4</xdr:col>
      <xdr:colOff>733425</xdr:colOff>
      <xdr:row>14</xdr:row>
      <xdr:rowOff>0</xdr:rowOff>
    </xdr:to>
    <xdr:sp>
      <xdr:nvSpPr>
        <xdr:cNvPr id="18" name="Line 25"/>
        <xdr:cNvSpPr>
          <a:spLocks/>
        </xdr:cNvSpPr>
      </xdr:nvSpPr>
      <xdr:spPr>
        <a:xfrm flipH="1" flipV="1">
          <a:off x="4457700" y="2095500"/>
          <a:ext cx="9525" cy="1714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14</xdr:row>
      <xdr:rowOff>76200</xdr:rowOff>
    </xdr:from>
    <xdr:to>
      <xdr:col>4</xdr:col>
      <xdr:colOff>714375</xdr:colOff>
      <xdr:row>14</xdr:row>
      <xdr:rowOff>133350</xdr:rowOff>
    </xdr:to>
    <xdr:sp>
      <xdr:nvSpPr>
        <xdr:cNvPr id="19" name="AutoShape 27"/>
        <xdr:cNvSpPr>
          <a:spLocks/>
        </xdr:cNvSpPr>
      </xdr:nvSpPr>
      <xdr:spPr>
        <a:xfrm flipV="1">
          <a:off x="4381500" y="2343150"/>
          <a:ext cx="66675" cy="57150"/>
        </a:xfrm>
        <a:prstGeom prst="plus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14</xdr:row>
      <xdr:rowOff>76200</xdr:rowOff>
    </xdr:from>
    <xdr:to>
      <xdr:col>5</xdr:col>
      <xdr:colOff>47625</xdr:colOff>
      <xdr:row>14</xdr:row>
      <xdr:rowOff>133350</xdr:rowOff>
    </xdr:to>
    <xdr:sp>
      <xdr:nvSpPr>
        <xdr:cNvPr id="20" name="AutoShape 28"/>
        <xdr:cNvSpPr>
          <a:spLocks/>
        </xdr:cNvSpPr>
      </xdr:nvSpPr>
      <xdr:spPr>
        <a:xfrm flipV="1">
          <a:off x="4476750" y="2343150"/>
          <a:ext cx="66675" cy="57150"/>
        </a:xfrm>
        <a:prstGeom prst="plus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104775</xdr:rowOff>
    </xdr:from>
    <xdr:to>
      <xdr:col>4</xdr:col>
      <xdr:colOff>95250</xdr:colOff>
      <xdr:row>22</xdr:row>
      <xdr:rowOff>0</xdr:rowOff>
    </xdr:to>
    <xdr:sp>
      <xdr:nvSpPr>
        <xdr:cNvPr id="21" name="AutoShape 29"/>
        <xdr:cNvSpPr>
          <a:spLocks/>
        </xdr:cNvSpPr>
      </xdr:nvSpPr>
      <xdr:spPr>
        <a:xfrm flipV="1">
          <a:off x="3762375" y="3505200"/>
          <a:ext cx="66675" cy="57150"/>
        </a:xfrm>
        <a:prstGeom prst="plus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15</xdr:row>
      <xdr:rowOff>47625</xdr:rowOff>
    </xdr:from>
    <xdr:to>
      <xdr:col>4</xdr:col>
      <xdr:colOff>581025</xdr:colOff>
      <xdr:row>18</xdr:row>
      <xdr:rowOff>28575</xdr:rowOff>
    </xdr:to>
    <xdr:sp>
      <xdr:nvSpPr>
        <xdr:cNvPr id="22" name="Line 30"/>
        <xdr:cNvSpPr>
          <a:spLocks/>
        </xdr:cNvSpPr>
      </xdr:nvSpPr>
      <xdr:spPr>
        <a:xfrm>
          <a:off x="4305300" y="2476500"/>
          <a:ext cx="9525" cy="466725"/>
        </a:xfrm>
        <a:prstGeom prst="line">
          <a:avLst/>
        </a:prstGeom>
        <a:noFill/>
        <a:ln w="317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28575</xdr:rowOff>
    </xdr:from>
    <xdr:to>
      <xdr:col>5</xdr:col>
      <xdr:colOff>200025</xdr:colOff>
      <xdr:row>18</xdr:row>
      <xdr:rowOff>9525</xdr:rowOff>
    </xdr:to>
    <xdr:sp>
      <xdr:nvSpPr>
        <xdr:cNvPr id="23" name="Line 31"/>
        <xdr:cNvSpPr>
          <a:spLocks/>
        </xdr:cNvSpPr>
      </xdr:nvSpPr>
      <xdr:spPr>
        <a:xfrm>
          <a:off x="4686300" y="2457450"/>
          <a:ext cx="9525" cy="466725"/>
        </a:xfrm>
        <a:prstGeom prst="line">
          <a:avLst/>
        </a:prstGeom>
        <a:noFill/>
        <a:ln w="317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581025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05275" y="323850"/>
          <a:ext cx="5715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Bodega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9525</xdr:colOff>
      <xdr:row>6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686300" y="323850"/>
          <a:ext cx="600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Laboratorio</a:t>
          </a:r>
        </a:p>
      </xdr:txBody>
    </xdr:sp>
    <xdr:clientData/>
  </xdr:twoCellAnchor>
  <xdr:twoCellAnchor>
    <xdr:from>
      <xdr:col>8</xdr:col>
      <xdr:colOff>0</xdr:colOff>
      <xdr:row>2</xdr:row>
      <xdr:rowOff>9525</xdr:rowOff>
    </xdr:from>
    <xdr:to>
      <xdr:col>9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5276850" y="333375"/>
          <a:ext cx="5905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Sala de trabajo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9</xdr:col>
      <xdr:colOff>419100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5876925" y="333375"/>
          <a:ext cx="4095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Oficina</a:t>
          </a:r>
        </a:p>
      </xdr:txBody>
    </xdr:sp>
    <xdr:clientData/>
  </xdr:twoCellAnchor>
  <xdr:twoCellAnchor>
    <xdr:from>
      <xdr:col>6</xdr:col>
      <xdr:colOff>9525</xdr:colOff>
      <xdr:row>8</xdr:row>
      <xdr:rowOff>9525</xdr:rowOff>
    </xdr:from>
    <xdr:to>
      <xdr:col>6</xdr:col>
      <xdr:colOff>419100</xdr:colOff>
      <xdr:row>12</xdr:row>
      <xdr:rowOff>0</xdr:rowOff>
    </xdr:to>
    <xdr:sp>
      <xdr:nvSpPr>
        <xdr:cNvPr id="5" name="Rectangle 9"/>
        <xdr:cNvSpPr>
          <a:spLocks/>
        </xdr:cNvSpPr>
      </xdr:nvSpPr>
      <xdr:spPr>
        <a:xfrm>
          <a:off x="4105275" y="1304925"/>
          <a:ext cx="4095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Dormitorio biol.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6</xdr:col>
      <xdr:colOff>419100</xdr:colOff>
      <xdr:row>12</xdr:row>
      <xdr:rowOff>9525</xdr:rowOff>
    </xdr:to>
    <xdr:sp>
      <xdr:nvSpPr>
        <xdr:cNvPr id="6" name="Rectangle 10"/>
        <xdr:cNvSpPr>
          <a:spLocks/>
        </xdr:cNvSpPr>
      </xdr:nvSpPr>
      <xdr:spPr>
        <a:xfrm>
          <a:off x="4105275" y="1790700"/>
          <a:ext cx="409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Baño</a:t>
          </a:r>
        </a:p>
      </xdr:txBody>
    </xdr:sp>
    <xdr:clientData/>
  </xdr:twoCellAnchor>
  <xdr:twoCellAnchor>
    <xdr:from>
      <xdr:col>6</xdr:col>
      <xdr:colOff>428625</xdr:colOff>
      <xdr:row>8</xdr:row>
      <xdr:rowOff>9525</xdr:rowOff>
    </xdr:from>
    <xdr:to>
      <xdr:col>7</xdr:col>
      <xdr:colOff>428625</xdr:colOff>
      <xdr:row>12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4524375" y="1304925"/>
          <a:ext cx="5905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Comedor, cocina</a:t>
          </a:r>
        </a:p>
      </xdr:txBody>
    </xdr:sp>
    <xdr:clientData/>
  </xdr:twoCellAnchor>
  <xdr:twoCellAnchor>
    <xdr:from>
      <xdr:col>7</xdr:col>
      <xdr:colOff>438150</xdr:colOff>
      <xdr:row>8</xdr:row>
      <xdr:rowOff>9525</xdr:rowOff>
    </xdr:from>
    <xdr:to>
      <xdr:col>8</xdr:col>
      <xdr:colOff>447675</xdr:colOff>
      <xdr:row>12</xdr:row>
      <xdr:rowOff>9525</xdr:rowOff>
    </xdr:to>
    <xdr:sp>
      <xdr:nvSpPr>
        <xdr:cNvPr id="8" name="Rectangle 12"/>
        <xdr:cNvSpPr>
          <a:spLocks/>
        </xdr:cNvSpPr>
      </xdr:nvSpPr>
      <xdr:spPr>
        <a:xfrm>
          <a:off x="5124450" y="1304925"/>
          <a:ext cx="600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Dormitorio personal</a:t>
          </a:r>
        </a:p>
      </xdr:txBody>
    </xdr:sp>
    <xdr:clientData/>
  </xdr:twoCellAnchor>
  <xdr:twoCellAnchor>
    <xdr:from>
      <xdr:col>8</xdr:col>
      <xdr:colOff>447675</xdr:colOff>
      <xdr:row>8</xdr:row>
      <xdr:rowOff>9525</xdr:rowOff>
    </xdr:from>
    <xdr:to>
      <xdr:col>9</xdr:col>
      <xdr:colOff>457200</xdr:colOff>
      <xdr:row>12</xdr:row>
      <xdr:rowOff>9525</xdr:rowOff>
    </xdr:to>
    <xdr:sp>
      <xdr:nvSpPr>
        <xdr:cNvPr id="9" name="Rectangle 13"/>
        <xdr:cNvSpPr>
          <a:spLocks/>
        </xdr:cNvSpPr>
      </xdr:nvSpPr>
      <xdr:spPr>
        <a:xfrm>
          <a:off x="5724525" y="1304925"/>
          <a:ext cx="600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Dormitorio personal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freire\Mis%20documentos\LULU\Produc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"/>
      <sheetName val="Supuestos"/>
      <sheetName val="Produccion"/>
      <sheetName val="Alevines"/>
      <sheetName val="Camaron"/>
      <sheetName val="Inversiones"/>
      <sheetName val="Bases"/>
      <sheetName val="Financiero"/>
    </sheetNames>
    <sheetDataSet>
      <sheetData sheetId="1">
        <row r="47">
          <cell r="C47">
            <v>49.664</v>
          </cell>
        </row>
        <row r="48">
          <cell r="C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6" sqref="D16"/>
    </sheetView>
  </sheetViews>
  <sheetFormatPr defaultColWidth="11.421875" defaultRowHeight="12.75"/>
  <cols>
    <col min="1" max="1" width="20.28125" style="0" customWidth="1"/>
  </cols>
  <sheetData>
    <row r="1" ht="15.75">
      <c r="A1" s="1" t="s">
        <v>287</v>
      </c>
    </row>
    <row r="4" ht="12.75">
      <c r="A4" s="2" t="s">
        <v>0</v>
      </c>
    </row>
    <row r="5" spans="1:2" ht="12.75">
      <c r="A5" s="2" t="s">
        <v>1</v>
      </c>
      <c r="B5" s="2" t="s">
        <v>2</v>
      </c>
    </row>
    <row r="6" spans="1:4" ht="12.75">
      <c r="A6" s="2"/>
      <c r="B6" s="3" t="s">
        <v>3</v>
      </c>
      <c r="C6" s="3" t="s">
        <v>4</v>
      </c>
      <c r="D6" s="3" t="s">
        <v>5</v>
      </c>
    </row>
    <row r="7" spans="1:6" ht="12.75">
      <c r="A7" s="4" t="s">
        <v>6</v>
      </c>
      <c r="B7" s="5"/>
      <c r="C7" s="5"/>
      <c r="D7" s="6">
        <v>1392</v>
      </c>
      <c r="F7" t="s">
        <v>15</v>
      </c>
    </row>
    <row r="8" spans="1:6" ht="12.75">
      <c r="A8" s="4" t="s">
        <v>7</v>
      </c>
      <c r="B8" s="5">
        <f>(B16*12)/B12</f>
        <v>45.89010989010989</v>
      </c>
      <c r="C8" s="5">
        <f>(C16*12)/C12</f>
        <v>611.8681318681319</v>
      </c>
      <c r="D8" s="5">
        <f>D7</f>
        <v>1392</v>
      </c>
      <c r="E8" s="7">
        <f>SUM(B8:D8)</f>
        <v>2049.7582417582416</v>
      </c>
      <c r="F8" s="8">
        <v>2050</v>
      </c>
    </row>
    <row r="9" spans="1:4" ht="12.75">
      <c r="A9" s="4" t="s">
        <v>8</v>
      </c>
      <c r="B9" s="9">
        <v>63</v>
      </c>
      <c r="C9" s="9">
        <v>135</v>
      </c>
      <c r="D9" s="9">
        <v>180</v>
      </c>
    </row>
    <row r="10" spans="1:4" ht="12.75">
      <c r="A10" s="4" t="s">
        <v>9</v>
      </c>
      <c r="B10" s="9">
        <v>12</v>
      </c>
      <c r="C10" s="9">
        <v>15</v>
      </c>
      <c r="D10" s="9">
        <v>23</v>
      </c>
    </row>
    <row r="11" spans="1:4" ht="12.75">
      <c r="A11" s="4" t="s">
        <v>10</v>
      </c>
      <c r="B11" s="10">
        <f>B9+B10</f>
        <v>75</v>
      </c>
      <c r="C11" s="10">
        <f>C9+C10</f>
        <v>150</v>
      </c>
      <c r="D11" s="10">
        <f>D9+D10</f>
        <v>203</v>
      </c>
    </row>
    <row r="12" spans="1:4" ht="12.75">
      <c r="A12" s="4" t="s">
        <v>165</v>
      </c>
      <c r="B12" s="5">
        <f>356/(B9+B10)</f>
        <v>4.746666666666667</v>
      </c>
      <c r="C12" s="5">
        <f>356/(C9+C10)</f>
        <v>2.3733333333333335</v>
      </c>
      <c r="D12" s="5">
        <f>356/(D9+D10)</f>
        <v>1.7536945812807883</v>
      </c>
    </row>
    <row r="13" spans="1:4" ht="12.75">
      <c r="A13" s="4" t="s">
        <v>11</v>
      </c>
      <c r="B13" s="11">
        <v>400000</v>
      </c>
      <c r="C13" s="11">
        <v>30000</v>
      </c>
      <c r="D13" s="11">
        <v>11600</v>
      </c>
    </row>
    <row r="14" spans="1:4" ht="12.75">
      <c r="A14" s="4" t="s">
        <v>12</v>
      </c>
      <c r="B14" s="12">
        <v>0.5</v>
      </c>
      <c r="C14" s="12">
        <v>0.65</v>
      </c>
      <c r="D14" s="12">
        <v>0.8</v>
      </c>
    </row>
    <row r="15" spans="1:4" ht="12.75">
      <c r="A15" s="4" t="s">
        <v>13</v>
      </c>
      <c r="B15" s="13">
        <f>C15/B14</f>
        <v>7260835.164835165</v>
      </c>
      <c r="C15" s="13">
        <f>D15/C14</f>
        <v>3630417.5824175826</v>
      </c>
      <c r="D15" s="13">
        <f>D8*D13*D12/12</f>
        <v>2359771.4285714286</v>
      </c>
    </row>
    <row r="16" spans="1:4" ht="12.75">
      <c r="A16" s="4" t="s">
        <v>14</v>
      </c>
      <c r="B16" s="5">
        <f>B15/B13</f>
        <v>18.152087912087914</v>
      </c>
      <c r="C16" s="5">
        <f>C15/C13</f>
        <v>121.01391941391942</v>
      </c>
      <c r="D16" s="5">
        <f>D15/D13</f>
        <v>203.42857142857144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11.421875" defaultRowHeight="12.75"/>
  <cols>
    <col min="1" max="1" width="38.00390625" style="0" customWidth="1"/>
  </cols>
  <sheetData>
    <row r="1" ht="12.75">
      <c r="A1" s="2" t="s">
        <v>226</v>
      </c>
    </row>
    <row r="2" spans="1:4" ht="12.75">
      <c r="A2" s="81" t="s">
        <v>217</v>
      </c>
      <c r="B2" s="92">
        <v>600</v>
      </c>
      <c r="D2" s="2"/>
    </row>
    <row r="3" spans="1:4" ht="12.75">
      <c r="A3" s="82" t="s">
        <v>218</v>
      </c>
      <c r="B3" s="92">
        <v>500</v>
      </c>
      <c r="D3" s="81"/>
    </row>
    <row r="4" spans="1:4" ht="12.75">
      <c r="A4" s="81" t="s">
        <v>219</v>
      </c>
      <c r="B4" s="92">
        <v>50</v>
      </c>
      <c r="D4" s="82"/>
    </row>
    <row r="5" spans="1:4" ht="12.75">
      <c r="A5" s="81" t="s">
        <v>220</v>
      </c>
      <c r="B5" s="92">
        <v>50</v>
      </c>
      <c r="D5" s="81"/>
    </row>
    <row r="6" spans="1:4" ht="12.75">
      <c r="A6" s="81" t="s">
        <v>221</v>
      </c>
      <c r="B6" s="92">
        <v>25</v>
      </c>
      <c r="D6" s="81"/>
    </row>
    <row r="7" spans="1:4" ht="12.75">
      <c r="A7" s="81" t="s">
        <v>222</v>
      </c>
      <c r="B7" s="92">
        <v>25</v>
      </c>
      <c r="D7" s="81"/>
    </row>
    <row r="8" spans="1:4" ht="12.75">
      <c r="A8" s="81" t="s">
        <v>223</v>
      </c>
      <c r="B8" s="92">
        <v>60</v>
      </c>
      <c r="D8" s="81"/>
    </row>
    <row r="9" spans="1:4" ht="12.75">
      <c r="A9" s="81" t="s">
        <v>224</v>
      </c>
      <c r="B9" s="92">
        <v>100</v>
      </c>
      <c r="D9" s="81"/>
    </row>
    <row r="10" spans="1:2" ht="12.75">
      <c r="A10" s="81" t="s">
        <v>360</v>
      </c>
      <c r="B10" s="92">
        <v>48.48</v>
      </c>
    </row>
    <row r="11" spans="1:2" ht="12.75">
      <c r="A11" s="81" t="s">
        <v>225</v>
      </c>
      <c r="B11" s="92">
        <v>20</v>
      </c>
    </row>
    <row r="12" spans="1:2" ht="12.75">
      <c r="A12" s="81" t="s">
        <v>227</v>
      </c>
      <c r="B12" s="92">
        <v>212</v>
      </c>
    </row>
    <row r="13" spans="1:2" ht="12.75">
      <c r="A13" s="81" t="s">
        <v>280</v>
      </c>
      <c r="B13" s="92">
        <v>50</v>
      </c>
    </row>
    <row r="14" spans="1:2" ht="12.75">
      <c r="A14" s="81" t="s">
        <v>228</v>
      </c>
      <c r="B14" s="92">
        <v>50</v>
      </c>
    </row>
    <row r="15" spans="1:2" ht="12.75">
      <c r="A15" s="81" t="s">
        <v>229</v>
      </c>
      <c r="B15" s="92">
        <v>25</v>
      </c>
    </row>
    <row r="16" spans="1:2" ht="12.75">
      <c r="A16" s="81" t="s">
        <v>230</v>
      </c>
      <c r="B16" s="92">
        <v>100</v>
      </c>
    </row>
    <row r="17" spans="1:2" ht="13.5" thickBot="1">
      <c r="A17" s="81" t="s">
        <v>231</v>
      </c>
      <c r="B17" s="92">
        <v>50</v>
      </c>
    </row>
    <row r="18" spans="1:2" ht="13.5" thickBot="1">
      <c r="A18" s="102" t="s">
        <v>256</v>
      </c>
      <c r="B18" s="155">
        <f>SUM(B2:B17)</f>
        <v>1965.48</v>
      </c>
    </row>
    <row r="22" ht="12.75">
      <c r="B22" s="18"/>
    </row>
  </sheetData>
  <printOptions/>
  <pageMargins left="0.75" right="0.75" top="1" bottom="1" header="0" footer="0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C1" sqref="C1"/>
    </sheetView>
  </sheetViews>
  <sheetFormatPr defaultColWidth="11.421875" defaultRowHeight="12.75"/>
  <cols>
    <col min="2" max="2" width="42.28125" style="0" customWidth="1"/>
    <col min="4" max="4" width="5.00390625" style="0" customWidth="1"/>
    <col min="5" max="5" width="25.28125" style="0" customWidth="1"/>
    <col min="6" max="6" width="14.57421875" style="0" bestFit="1" customWidth="1"/>
    <col min="10" max="10" width="13.7109375" style="0" customWidth="1"/>
  </cols>
  <sheetData>
    <row r="1" spans="2:5" ht="12.75">
      <c r="B1" t="s">
        <v>331</v>
      </c>
      <c r="E1" t="s">
        <v>330</v>
      </c>
    </row>
    <row r="2" spans="2:6" ht="12.75">
      <c r="B2" t="s">
        <v>319</v>
      </c>
      <c r="C2">
        <v>0.002</v>
      </c>
      <c r="E2" t="s">
        <v>332</v>
      </c>
      <c r="F2">
        <v>80</v>
      </c>
    </row>
    <row r="3" spans="2:6" ht="12.75">
      <c r="B3" t="s">
        <v>319</v>
      </c>
      <c r="C3">
        <v>80</v>
      </c>
      <c r="E3" t="s">
        <v>319</v>
      </c>
      <c r="F3">
        <v>300</v>
      </c>
    </row>
    <row r="4" spans="2:6" ht="12.75">
      <c r="B4" t="s">
        <v>318</v>
      </c>
      <c r="C4">
        <v>0.8</v>
      </c>
      <c r="E4" t="s">
        <v>318</v>
      </c>
      <c r="F4">
        <v>2.2</v>
      </c>
    </row>
    <row r="5" spans="2:6" ht="12.75">
      <c r="B5" t="s">
        <v>316</v>
      </c>
      <c r="C5">
        <f>C3/C4</f>
        <v>100</v>
      </c>
      <c r="E5" t="s">
        <v>316</v>
      </c>
      <c r="F5">
        <f>(F3-F2)/2</f>
        <v>110</v>
      </c>
    </row>
    <row r="6" spans="2:8" ht="12.75">
      <c r="B6" t="s">
        <v>317</v>
      </c>
      <c r="C6" s="7">
        <v>10000</v>
      </c>
      <c r="E6" t="s">
        <v>317</v>
      </c>
      <c r="F6" s="7">
        <v>12000</v>
      </c>
      <c r="H6" t="s">
        <v>338</v>
      </c>
    </row>
    <row r="7" spans="2:11" ht="12.75">
      <c r="B7" t="s">
        <v>320</v>
      </c>
      <c r="C7" s="7">
        <f>(C6*454.5)/C3</f>
        <v>56812.5</v>
      </c>
      <c r="E7" t="s">
        <v>320</v>
      </c>
      <c r="F7" s="7">
        <f>(F6*454.5)/F3</f>
        <v>18180</v>
      </c>
      <c r="I7" t="s">
        <v>339</v>
      </c>
      <c r="J7" t="s">
        <v>340</v>
      </c>
      <c r="K7" t="s">
        <v>341</v>
      </c>
    </row>
    <row r="8" spans="2:11" ht="12.75">
      <c r="B8" t="s">
        <v>321</v>
      </c>
      <c r="C8" s="14">
        <v>0.25</v>
      </c>
      <c r="E8" t="s">
        <v>321</v>
      </c>
      <c r="F8" s="14">
        <v>0.7</v>
      </c>
      <c r="H8" t="s">
        <v>335</v>
      </c>
      <c r="I8" s="14">
        <v>0.6</v>
      </c>
      <c r="J8">
        <v>0.3</v>
      </c>
      <c r="K8">
        <v>60</v>
      </c>
    </row>
    <row r="9" spans="2:11" ht="12.75">
      <c r="B9" t="s">
        <v>322</v>
      </c>
      <c r="C9" s="7">
        <f>C7/C8</f>
        <v>227250</v>
      </c>
      <c r="E9" t="s">
        <v>322</v>
      </c>
      <c r="F9" s="7">
        <f>F7/F8</f>
        <v>25971.428571428572</v>
      </c>
      <c r="H9" t="s">
        <v>336</v>
      </c>
      <c r="I9" s="14">
        <v>0.9</v>
      </c>
      <c r="J9">
        <v>0.5</v>
      </c>
      <c r="K9">
        <f>K8*0.9</f>
        <v>54</v>
      </c>
    </row>
    <row r="10" spans="2:11" ht="12.75">
      <c r="B10" t="s">
        <v>323</v>
      </c>
      <c r="C10">
        <v>0.15</v>
      </c>
      <c r="E10" t="s">
        <v>323</v>
      </c>
      <c r="F10">
        <v>0.15</v>
      </c>
      <c r="H10" t="s">
        <v>337</v>
      </c>
      <c r="I10" s="14">
        <v>0.5</v>
      </c>
      <c r="J10">
        <v>80</v>
      </c>
      <c r="K10" s="22">
        <f>K9*I10</f>
        <v>27</v>
      </c>
    </row>
    <row r="11" spans="2:6" ht="12.75">
      <c r="B11" t="s">
        <v>324</v>
      </c>
      <c r="C11" s="7">
        <f>C9*C10</f>
        <v>34087.5</v>
      </c>
      <c r="E11" t="s">
        <v>333</v>
      </c>
      <c r="F11" s="114">
        <f>F9*F10</f>
        <v>3895.714285714286</v>
      </c>
    </row>
    <row r="12" spans="2:6" ht="12.75">
      <c r="B12" t="s">
        <v>325</v>
      </c>
      <c r="C12" s="7">
        <f>C11*C8</f>
        <v>8521.875</v>
      </c>
      <c r="E12" t="s">
        <v>334</v>
      </c>
      <c r="F12" s="7">
        <f>F11*F8</f>
        <v>2727</v>
      </c>
    </row>
    <row r="13" spans="2:6" ht="12.75">
      <c r="B13" t="s">
        <v>326</v>
      </c>
      <c r="C13" s="7">
        <f>C12*C3/1000</f>
        <v>681.75</v>
      </c>
      <c r="E13" t="s">
        <v>326</v>
      </c>
      <c r="F13" s="7">
        <f>F12*F3/1000</f>
        <v>818.1</v>
      </c>
    </row>
    <row r="14" spans="2:6" ht="12.75">
      <c r="B14" t="s">
        <v>276</v>
      </c>
      <c r="C14">
        <v>1.2</v>
      </c>
      <c r="E14" t="s">
        <v>276</v>
      </c>
      <c r="F14">
        <v>1.5</v>
      </c>
    </row>
    <row r="15" spans="2:6" ht="12.75">
      <c r="B15" t="s">
        <v>329</v>
      </c>
      <c r="C15" s="7">
        <f>C14*C13</f>
        <v>818.1</v>
      </c>
      <c r="E15" t="s">
        <v>329</v>
      </c>
      <c r="F15" s="7">
        <f>F14*F13</f>
        <v>1227.15</v>
      </c>
    </row>
    <row r="16" spans="2:7" ht="12.75">
      <c r="B16" t="s">
        <v>327</v>
      </c>
      <c r="C16">
        <f>ROUNDUP(C5/30,0)</f>
        <v>4</v>
      </c>
      <c r="E16" t="s">
        <v>327</v>
      </c>
      <c r="F16">
        <f>ROUNDUP(F5/30,0)</f>
        <v>4</v>
      </c>
      <c r="G16">
        <f>F16+C16</f>
        <v>8</v>
      </c>
    </row>
    <row r="17" spans="2:6" ht="12.75">
      <c r="B17" t="s">
        <v>328</v>
      </c>
      <c r="C17" s="18">
        <f>C15/C16</f>
        <v>204.525</v>
      </c>
      <c r="E17" t="s">
        <v>328</v>
      </c>
      <c r="F17" s="18">
        <f>F15/F16</f>
        <v>306.7875</v>
      </c>
    </row>
    <row r="47" ht="12.75">
      <c r="A47" t="s">
        <v>232</v>
      </c>
    </row>
    <row r="48" ht="12.75">
      <c r="A48" t="s">
        <v>232</v>
      </c>
    </row>
    <row r="49" ht="12.75">
      <c r="A49" t="s">
        <v>232</v>
      </c>
    </row>
    <row r="50" ht="12.75">
      <c r="A50" t="s">
        <v>232</v>
      </c>
    </row>
    <row r="51" ht="12.75">
      <c r="A51" t="s">
        <v>232</v>
      </c>
    </row>
    <row r="52" ht="12.75">
      <c r="A52" t="s">
        <v>232</v>
      </c>
    </row>
    <row r="53" ht="12.75">
      <c r="A53" t="s">
        <v>232</v>
      </c>
    </row>
    <row r="54" ht="12.75">
      <c r="A54" t="s">
        <v>233</v>
      </c>
    </row>
    <row r="55" ht="12.75">
      <c r="A55" t="s">
        <v>233</v>
      </c>
    </row>
    <row r="56" ht="12.75">
      <c r="A56" t="s">
        <v>233</v>
      </c>
    </row>
    <row r="57" ht="12.75">
      <c r="A57" t="s">
        <v>233</v>
      </c>
    </row>
    <row r="58" ht="12.75">
      <c r="A58" t="s">
        <v>233</v>
      </c>
    </row>
    <row r="59" ht="12.75">
      <c r="A59" t="s">
        <v>233</v>
      </c>
    </row>
    <row r="60" ht="12.75">
      <c r="A60" t="s">
        <v>233</v>
      </c>
    </row>
    <row r="61" ht="12.75">
      <c r="A61" t="s">
        <v>233</v>
      </c>
    </row>
    <row r="62" ht="12.75">
      <c r="A62" t="s">
        <v>233</v>
      </c>
    </row>
    <row r="63" ht="12.75">
      <c r="A63" t="s">
        <v>233</v>
      </c>
    </row>
    <row r="64" ht="12.75">
      <c r="A64" t="s">
        <v>233</v>
      </c>
    </row>
    <row r="65" ht="12.75">
      <c r="A65" t="s">
        <v>233</v>
      </c>
    </row>
    <row r="66" ht="12.75">
      <c r="A66" s="22" t="s">
        <v>234</v>
      </c>
    </row>
    <row r="67" ht="12.75">
      <c r="A67" s="22" t="s">
        <v>234</v>
      </c>
    </row>
    <row r="68" ht="12.75">
      <c r="A68" s="22" t="s">
        <v>234</v>
      </c>
    </row>
    <row r="69" ht="12.75">
      <c r="A69" s="22" t="s">
        <v>234</v>
      </c>
    </row>
    <row r="70" ht="12.75">
      <c r="A70" s="22" t="s">
        <v>234</v>
      </c>
    </row>
    <row r="71" ht="12.75">
      <c r="A71" s="22" t="s">
        <v>234</v>
      </c>
    </row>
    <row r="72" ht="12.75">
      <c r="A72" s="22" t="s">
        <v>234</v>
      </c>
    </row>
    <row r="73" ht="12.75">
      <c r="A73" s="22" t="s">
        <v>234</v>
      </c>
    </row>
    <row r="74" ht="12.75">
      <c r="A74" s="22" t="s">
        <v>234</v>
      </c>
    </row>
    <row r="75" ht="12.75">
      <c r="A75" s="22" t="s">
        <v>234</v>
      </c>
    </row>
    <row r="76" ht="12.75">
      <c r="A76" s="22" t="s">
        <v>234</v>
      </c>
    </row>
    <row r="77" ht="12.75">
      <c r="A77" s="22" t="s">
        <v>234</v>
      </c>
    </row>
    <row r="78" ht="12.75">
      <c r="A78" t="s">
        <v>235</v>
      </c>
    </row>
    <row r="79" ht="12.75">
      <c r="A79" t="s">
        <v>235</v>
      </c>
    </row>
    <row r="80" ht="12.75">
      <c r="A80" t="s">
        <v>235</v>
      </c>
    </row>
    <row r="81" ht="12.75">
      <c r="A81" t="s">
        <v>235</v>
      </c>
    </row>
    <row r="82" ht="12.75">
      <c r="A82" t="s">
        <v>235</v>
      </c>
    </row>
    <row r="83" ht="12.75">
      <c r="A83" t="s">
        <v>235</v>
      </c>
    </row>
    <row r="84" ht="12.75">
      <c r="A84" t="s">
        <v>235</v>
      </c>
    </row>
    <row r="85" ht="12.75">
      <c r="A85" t="s">
        <v>235</v>
      </c>
    </row>
    <row r="86" ht="12.75">
      <c r="A86" t="s">
        <v>235</v>
      </c>
    </row>
  </sheetData>
  <printOptions/>
  <pageMargins left="0.75" right="0.75" top="1" bottom="1" header="0" footer="0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33">
      <selection activeCell="A1" sqref="A1"/>
    </sheetView>
  </sheetViews>
  <sheetFormatPr defaultColWidth="11.421875" defaultRowHeight="12.75"/>
  <cols>
    <col min="1" max="1" width="42.57421875" style="0" customWidth="1"/>
    <col min="2" max="2" width="12.28125" style="0" customWidth="1"/>
    <col min="4" max="4" width="17.7109375" style="0" customWidth="1"/>
    <col min="5" max="5" width="12.28125" style="0" bestFit="1" customWidth="1"/>
    <col min="6" max="6" width="9.7109375" style="0" bestFit="1" customWidth="1"/>
    <col min="7" max="7" width="9.57421875" style="0" bestFit="1" customWidth="1"/>
    <col min="8" max="16384" width="9.140625" style="0" customWidth="1"/>
  </cols>
  <sheetData>
    <row r="1" spans="1:3" ht="12.75">
      <c r="A1" s="44" t="s">
        <v>216</v>
      </c>
      <c r="B1" s="28"/>
      <c r="C1" s="28"/>
    </row>
    <row r="2" spans="1:3" ht="12.75">
      <c r="A2" s="44"/>
      <c r="B2" s="28"/>
      <c r="C2" s="28"/>
    </row>
    <row r="3" spans="1:3" ht="12.75">
      <c r="A3" s="46" t="s">
        <v>210</v>
      </c>
      <c r="B3" s="28"/>
      <c r="C3" s="28"/>
    </row>
    <row r="4" spans="1:7" ht="12.75">
      <c r="A4" t="s">
        <v>319</v>
      </c>
      <c r="B4">
        <v>0.002</v>
      </c>
      <c r="C4" s="144"/>
      <c r="D4" s="28" t="s">
        <v>297</v>
      </c>
      <c r="E4" s="28"/>
      <c r="F4" s="28">
        <v>0.15</v>
      </c>
      <c r="G4" s="28" t="s">
        <v>298</v>
      </c>
    </row>
    <row r="5" spans="1:8" ht="12.75">
      <c r="A5" t="s">
        <v>319</v>
      </c>
      <c r="B5">
        <v>80</v>
      </c>
      <c r="C5" s="144"/>
      <c r="D5" s="2" t="s">
        <v>299</v>
      </c>
      <c r="E5" s="2" t="s">
        <v>300</v>
      </c>
      <c r="F5" s="109" t="s">
        <v>301</v>
      </c>
      <c r="G5" s="2" t="s">
        <v>302</v>
      </c>
      <c r="H5" s="2" t="s">
        <v>92</v>
      </c>
    </row>
    <row r="6" spans="1:8" ht="12.75">
      <c r="A6" t="s">
        <v>318</v>
      </c>
      <c r="B6">
        <v>0.8</v>
      </c>
      <c r="C6" s="144"/>
      <c r="D6" s="28" t="s">
        <v>303</v>
      </c>
      <c r="E6" s="28">
        <v>250</v>
      </c>
      <c r="F6" s="45">
        <f>E6*F4</f>
        <v>37.5</v>
      </c>
      <c r="G6" s="110">
        <f>1.3/45</f>
        <v>0.02888888888888889</v>
      </c>
      <c r="H6" s="16">
        <f>G6*F6</f>
        <v>1.0833333333333335</v>
      </c>
    </row>
    <row r="7" spans="1:8" ht="12.75">
      <c r="A7" t="s">
        <v>316</v>
      </c>
      <c r="B7">
        <f>B5/B6</f>
        <v>100</v>
      </c>
      <c r="C7" s="144"/>
      <c r="D7" s="28"/>
      <c r="E7" s="28"/>
      <c r="F7" s="45"/>
      <c r="G7" s="110"/>
      <c r="H7" s="16"/>
    </row>
    <row r="8" spans="1:8" ht="12.75">
      <c r="A8" t="s">
        <v>317</v>
      </c>
      <c r="B8" s="7">
        <v>10000</v>
      </c>
      <c r="C8" s="144"/>
      <c r="D8" s="28"/>
      <c r="E8" s="28"/>
      <c r="F8" s="45"/>
      <c r="G8" s="110"/>
      <c r="H8" s="16"/>
    </row>
    <row r="9" spans="1:8" ht="12.75">
      <c r="A9" t="s">
        <v>320</v>
      </c>
      <c r="B9" s="7">
        <f>(B8*454.5)/B5</f>
        <v>56812.5</v>
      </c>
      <c r="C9" s="144"/>
      <c r="D9" s="28"/>
      <c r="E9" s="28"/>
      <c r="F9" s="45"/>
      <c r="G9" s="110"/>
      <c r="H9" s="16"/>
    </row>
    <row r="10" spans="1:8" ht="12.75">
      <c r="A10" t="s">
        <v>321</v>
      </c>
      <c r="B10" s="14">
        <v>0.25</v>
      </c>
      <c r="C10" s="144"/>
      <c r="D10" s="28" t="s">
        <v>359</v>
      </c>
      <c r="E10" s="48" t="s">
        <v>402</v>
      </c>
      <c r="F10" s="140" t="s">
        <v>351</v>
      </c>
      <c r="G10" s="141" t="s">
        <v>92</v>
      </c>
      <c r="H10" s="16"/>
    </row>
    <row r="11" spans="1:8" ht="12.75">
      <c r="A11" t="s">
        <v>322</v>
      </c>
      <c r="B11" s="7">
        <f>B9/B10</f>
        <v>227250</v>
      </c>
      <c r="C11" s="144"/>
      <c r="D11" s="28" t="s">
        <v>356</v>
      </c>
      <c r="E11" s="123">
        <v>1.08</v>
      </c>
      <c r="F11" s="45">
        <f>B18</f>
        <v>327.24</v>
      </c>
      <c r="G11" s="50">
        <f>SUM(E11:F11)</f>
        <v>328.32</v>
      </c>
      <c r="H11" s="16"/>
    </row>
    <row r="12" spans="1:8" ht="12.75">
      <c r="A12" t="s">
        <v>323</v>
      </c>
      <c r="B12">
        <v>0.15</v>
      </c>
      <c r="C12" s="144"/>
      <c r="D12" s="28" t="s">
        <v>357</v>
      </c>
      <c r="E12" s="123">
        <v>1.08</v>
      </c>
      <c r="F12" s="45">
        <f>B41</f>
        <v>490.86000000000007</v>
      </c>
      <c r="G12" s="50">
        <f>SUM(E12:F12)</f>
        <v>491.94000000000005</v>
      </c>
      <c r="H12" s="16"/>
    </row>
    <row r="13" spans="1:8" ht="12.75">
      <c r="A13" t="s">
        <v>324</v>
      </c>
      <c r="B13" s="7">
        <f>B11*B12</f>
        <v>34087.5</v>
      </c>
      <c r="C13" s="144"/>
      <c r="D13" s="28" t="s">
        <v>358</v>
      </c>
      <c r="E13" s="123">
        <v>2.16</v>
      </c>
      <c r="F13" s="45">
        <f>B60</f>
        <v>68.67888333333333</v>
      </c>
      <c r="G13" s="50">
        <f>SUM(E13:F13)</f>
        <v>70.83888333333333</v>
      </c>
      <c r="H13" s="16"/>
    </row>
    <row r="14" spans="1:8" ht="12.75">
      <c r="A14" t="s">
        <v>325</v>
      </c>
      <c r="B14" s="7">
        <f>B13*B10</f>
        <v>8521.875</v>
      </c>
      <c r="C14" s="144"/>
      <c r="D14" s="28" t="s">
        <v>92</v>
      </c>
      <c r="E14" s="123">
        <f>SUM(E11:E13)</f>
        <v>4.32</v>
      </c>
      <c r="F14" s="45">
        <f>SUM(F11:F13)</f>
        <v>886.7788833333335</v>
      </c>
      <c r="G14" s="50">
        <f>SUM(G11:G13)</f>
        <v>891.0988833333333</v>
      </c>
      <c r="H14" s="16"/>
    </row>
    <row r="15" spans="1:3" ht="12.75">
      <c r="A15" t="s">
        <v>326</v>
      </c>
      <c r="B15" s="7">
        <f>B14*B5/1000</f>
        <v>681.75</v>
      </c>
      <c r="C15" s="144"/>
    </row>
    <row r="16" spans="1:3" ht="12.75">
      <c r="A16" t="s">
        <v>276</v>
      </c>
      <c r="B16">
        <v>1.2</v>
      </c>
      <c r="C16" s="144"/>
    </row>
    <row r="17" spans="1:7" ht="12.75">
      <c r="A17" t="s">
        <v>329</v>
      </c>
      <c r="B17" s="7">
        <f>B16*B15</f>
        <v>818.1</v>
      </c>
      <c r="C17" s="144"/>
      <c r="D17" s="28"/>
      <c r="E17" s="28"/>
      <c r="F17" s="28"/>
      <c r="G17" s="28"/>
    </row>
    <row r="18" spans="1:7" ht="12.75">
      <c r="A18" s="48" t="s">
        <v>362</v>
      </c>
      <c r="B18" s="125">
        <f>B17*B21</f>
        <v>327.24</v>
      </c>
      <c r="C18" s="144"/>
      <c r="D18" s="28"/>
      <c r="E18" s="28"/>
      <c r="F18" s="28"/>
      <c r="G18" s="28"/>
    </row>
    <row r="19" spans="1:7" ht="12.75">
      <c r="A19" t="s">
        <v>327</v>
      </c>
      <c r="B19">
        <f>ROUNDUP(B7/30,0)</f>
        <v>4</v>
      </c>
      <c r="C19" s="144"/>
      <c r="D19" s="28"/>
      <c r="E19" s="28"/>
      <c r="F19" s="28"/>
      <c r="G19" s="28"/>
    </row>
    <row r="20" spans="1:7" ht="12.75">
      <c r="A20" t="s">
        <v>328</v>
      </c>
      <c r="B20" s="18">
        <f>B17/B19</f>
        <v>204.525</v>
      </c>
      <c r="C20" s="144"/>
      <c r="D20" s="28"/>
      <c r="E20" s="28"/>
      <c r="F20" s="28"/>
      <c r="G20" s="28"/>
    </row>
    <row r="21" spans="1:7" ht="12.75">
      <c r="A21" s="48" t="s">
        <v>177</v>
      </c>
      <c r="B21" s="51">
        <v>0.4</v>
      </c>
      <c r="C21" s="144"/>
      <c r="D21" s="28"/>
      <c r="E21" s="28"/>
      <c r="F21" s="28"/>
      <c r="G21" s="28"/>
    </row>
    <row r="22" spans="1:7" ht="12.75">
      <c r="A22" s="48" t="s">
        <v>361</v>
      </c>
      <c r="B22" s="52">
        <f>B20*B21</f>
        <v>81.81</v>
      </c>
      <c r="C22" s="144"/>
      <c r="D22" s="28"/>
      <c r="E22" s="28"/>
      <c r="F22" s="28"/>
      <c r="G22" s="28"/>
    </row>
    <row r="23" spans="1:7" ht="12.75">
      <c r="A23" s="53" t="s">
        <v>179</v>
      </c>
      <c r="B23" s="55">
        <f>H6</f>
        <v>1.0833333333333335</v>
      </c>
      <c r="C23" s="144"/>
      <c r="D23" s="28"/>
      <c r="E23" s="28"/>
      <c r="F23" s="28"/>
      <c r="G23" s="28"/>
    </row>
    <row r="24" spans="1:7" ht="12.75">
      <c r="A24" s="28" t="s">
        <v>180</v>
      </c>
      <c r="B24" s="56">
        <f>B23+B22</f>
        <v>82.89333333333333</v>
      </c>
      <c r="C24" s="145"/>
      <c r="D24" s="28"/>
      <c r="E24" s="28"/>
      <c r="F24" s="28"/>
      <c r="G24" s="28"/>
    </row>
    <row r="25" spans="1:7" ht="12.75">
      <c r="A25" s="28"/>
      <c r="B25" s="28"/>
      <c r="C25" s="144"/>
      <c r="D25" s="28"/>
      <c r="E25" s="28"/>
      <c r="F25" s="28"/>
      <c r="G25" s="28"/>
    </row>
    <row r="26" spans="1:7" ht="12.75">
      <c r="A26" s="46" t="s">
        <v>342</v>
      </c>
      <c r="C26" s="144"/>
      <c r="D26" s="28"/>
      <c r="E26" s="28"/>
      <c r="F26" s="28"/>
      <c r="G26" s="28"/>
    </row>
    <row r="27" spans="1:7" ht="12.75">
      <c r="A27" t="s">
        <v>332</v>
      </c>
      <c r="B27">
        <v>80</v>
      </c>
      <c r="C27" s="144"/>
      <c r="D27" s="28"/>
      <c r="E27" s="28"/>
      <c r="F27" s="28"/>
      <c r="G27" s="28"/>
    </row>
    <row r="28" spans="1:7" ht="12.75">
      <c r="A28" t="s">
        <v>319</v>
      </c>
      <c r="B28">
        <v>300</v>
      </c>
      <c r="C28" s="144"/>
      <c r="D28" s="28"/>
      <c r="E28" s="28"/>
      <c r="F28" s="28"/>
      <c r="G28" s="28"/>
    </row>
    <row r="29" spans="1:7" ht="12.75">
      <c r="A29" t="s">
        <v>318</v>
      </c>
      <c r="B29">
        <v>2.2</v>
      </c>
      <c r="C29" s="144"/>
      <c r="D29" s="28"/>
      <c r="E29" s="28"/>
      <c r="F29" s="28"/>
      <c r="G29" s="28"/>
    </row>
    <row r="30" spans="1:7" ht="12.75">
      <c r="A30" t="s">
        <v>316</v>
      </c>
      <c r="B30">
        <f>(B28-B27)/2</f>
        <v>110</v>
      </c>
      <c r="C30" s="144"/>
      <c r="D30" s="28"/>
      <c r="E30" s="28"/>
      <c r="F30" s="28"/>
      <c r="G30" s="28"/>
    </row>
    <row r="31" spans="1:7" ht="12.75">
      <c r="A31" t="s">
        <v>317</v>
      </c>
      <c r="B31" s="7">
        <v>12000</v>
      </c>
      <c r="C31" s="144"/>
      <c r="D31" s="28"/>
      <c r="E31" s="28"/>
      <c r="F31" s="28"/>
      <c r="G31" s="28"/>
    </row>
    <row r="32" spans="1:7" ht="12.75">
      <c r="A32" t="s">
        <v>320</v>
      </c>
      <c r="B32" s="7">
        <f>(B31*454.5)/B28</f>
        <v>18180</v>
      </c>
      <c r="C32" s="144"/>
      <c r="D32" s="28"/>
      <c r="E32" s="28"/>
      <c r="F32" s="28"/>
      <c r="G32" s="28"/>
    </row>
    <row r="33" spans="1:7" ht="12.75">
      <c r="A33" t="s">
        <v>321</v>
      </c>
      <c r="B33" s="14">
        <v>0.7</v>
      </c>
      <c r="C33" s="144"/>
      <c r="D33" s="28"/>
      <c r="E33" s="28"/>
      <c r="F33" s="28"/>
      <c r="G33" s="28"/>
    </row>
    <row r="34" spans="1:7" ht="12.75">
      <c r="A34" t="s">
        <v>322</v>
      </c>
      <c r="B34" s="7">
        <f>B32/B33</f>
        <v>25971.428571428572</v>
      </c>
      <c r="C34" s="144"/>
      <c r="D34" s="28"/>
      <c r="E34" s="28"/>
      <c r="F34" s="28"/>
      <c r="G34" s="28"/>
    </row>
    <row r="35" spans="1:7" ht="12.75">
      <c r="A35" t="s">
        <v>323</v>
      </c>
      <c r="B35">
        <v>0.15</v>
      </c>
      <c r="C35" s="144"/>
      <c r="D35" s="28"/>
      <c r="E35" s="28"/>
      <c r="F35" s="28"/>
      <c r="G35" s="28"/>
    </row>
    <row r="36" spans="1:7" ht="12.75">
      <c r="A36" t="s">
        <v>333</v>
      </c>
      <c r="B36" s="114">
        <f>B34*B35</f>
        <v>3895.714285714286</v>
      </c>
      <c r="C36" s="144"/>
      <c r="D36" s="28"/>
      <c r="E36" s="28"/>
      <c r="F36" s="28"/>
      <c r="G36" s="28"/>
    </row>
    <row r="37" spans="1:7" ht="12.75">
      <c r="A37" t="s">
        <v>334</v>
      </c>
      <c r="B37" s="7">
        <f>B36*B33</f>
        <v>2727</v>
      </c>
      <c r="C37" s="144"/>
      <c r="D37" s="28"/>
      <c r="E37" s="28"/>
      <c r="F37" s="28"/>
      <c r="G37" s="28"/>
    </row>
    <row r="38" spans="1:7" ht="12.75">
      <c r="A38" t="s">
        <v>326</v>
      </c>
      <c r="B38" s="7">
        <f>B37*B28/1000</f>
        <v>818.1</v>
      </c>
      <c r="C38" s="144"/>
      <c r="D38" s="28"/>
      <c r="E38" s="28"/>
      <c r="F38" s="28"/>
      <c r="G38" s="28"/>
    </row>
    <row r="39" spans="1:7" ht="12.75">
      <c r="A39" t="s">
        <v>276</v>
      </c>
      <c r="B39">
        <v>1.5</v>
      </c>
      <c r="C39" s="144"/>
      <c r="D39" s="28"/>
      <c r="E39" s="28"/>
      <c r="F39" s="28"/>
      <c r="G39" s="28"/>
    </row>
    <row r="40" spans="1:7" ht="12.75">
      <c r="A40" t="s">
        <v>329</v>
      </c>
      <c r="B40" s="7">
        <f>B39*B38</f>
        <v>1227.15</v>
      </c>
      <c r="C40" s="144"/>
      <c r="D40" s="28"/>
      <c r="E40" s="28"/>
      <c r="F40" s="28"/>
      <c r="G40" s="28"/>
    </row>
    <row r="41" spans="1:7" ht="12.75">
      <c r="A41" s="48" t="s">
        <v>362</v>
      </c>
      <c r="B41" s="7">
        <f>B40*B44</f>
        <v>490.86000000000007</v>
      </c>
      <c r="C41" s="144"/>
      <c r="D41" s="28"/>
      <c r="E41" s="28"/>
      <c r="F41" s="28"/>
      <c r="G41" s="28"/>
    </row>
    <row r="42" spans="1:7" ht="12.75">
      <c r="A42" t="s">
        <v>327</v>
      </c>
      <c r="B42">
        <f>ROUNDUP(B30/30,0)</f>
        <v>4</v>
      </c>
      <c r="C42" s="144"/>
      <c r="D42" s="28"/>
      <c r="E42" s="28"/>
      <c r="F42" s="28"/>
      <c r="G42" s="28"/>
    </row>
    <row r="43" spans="1:7" ht="12.75">
      <c r="A43" t="s">
        <v>328</v>
      </c>
      <c r="B43" s="18">
        <f>B40/B42</f>
        <v>306.7875</v>
      </c>
      <c r="C43" s="144"/>
      <c r="D43" s="28"/>
      <c r="E43" s="28"/>
      <c r="F43" s="28"/>
      <c r="G43" s="28"/>
    </row>
    <row r="44" spans="1:7" ht="12.75">
      <c r="A44" s="48" t="s">
        <v>177</v>
      </c>
      <c r="B44" s="51">
        <v>0.4</v>
      </c>
      <c r="C44" s="144"/>
      <c r="D44" s="28"/>
      <c r="E44" s="28"/>
      <c r="F44" s="28"/>
      <c r="G44" s="28"/>
    </row>
    <row r="45" spans="1:7" ht="12.75">
      <c r="A45" s="48" t="s">
        <v>361</v>
      </c>
      <c r="B45" s="52">
        <f>B43*B44</f>
        <v>122.71500000000002</v>
      </c>
      <c r="C45" s="144"/>
      <c r="D45" s="28"/>
      <c r="E45" s="28"/>
      <c r="F45" s="28"/>
      <c r="G45" s="28"/>
    </row>
    <row r="46" spans="1:7" ht="12.75">
      <c r="A46" s="53" t="s">
        <v>179</v>
      </c>
      <c r="B46" s="55">
        <f>H6</f>
        <v>1.0833333333333335</v>
      </c>
      <c r="C46" s="144"/>
      <c r="D46" s="28"/>
      <c r="E46" s="28"/>
      <c r="F46" s="28"/>
      <c r="G46" s="28"/>
    </row>
    <row r="47" spans="1:7" ht="12.75">
      <c r="A47" s="28" t="s">
        <v>180</v>
      </c>
      <c r="B47" s="56">
        <f>B46+B45</f>
        <v>123.79833333333335</v>
      </c>
      <c r="C47" s="146" t="s">
        <v>412</v>
      </c>
      <c r="D47" s="28"/>
      <c r="E47" s="28"/>
      <c r="F47" s="28"/>
      <c r="G47" s="28"/>
    </row>
    <row r="48" spans="1:7" ht="12.75">
      <c r="A48" s="28"/>
      <c r="B48" s="28"/>
      <c r="C48" s="28"/>
      <c r="D48" s="28"/>
      <c r="E48" s="28"/>
      <c r="F48" s="28"/>
      <c r="G48" s="28"/>
    </row>
    <row r="49" spans="1:7" ht="12.75">
      <c r="A49" s="46" t="s">
        <v>181</v>
      </c>
      <c r="B49" s="28"/>
      <c r="C49" s="28"/>
      <c r="D49" s="28"/>
      <c r="E49" s="28"/>
      <c r="F49" s="28"/>
      <c r="G49" s="28"/>
    </row>
    <row r="50" spans="1:7" ht="12.75">
      <c r="A50" s="28" t="s">
        <v>169</v>
      </c>
      <c r="B50" s="47">
        <v>1</v>
      </c>
      <c r="C50" s="28"/>
      <c r="D50" s="28"/>
      <c r="E50" s="28"/>
      <c r="F50" s="28"/>
      <c r="G50" s="28"/>
    </row>
    <row r="51" spans="1:7" ht="12.75">
      <c r="A51" s="48" t="s">
        <v>170</v>
      </c>
      <c r="B51" s="47">
        <v>0.3</v>
      </c>
      <c r="C51" s="28"/>
      <c r="D51" s="28"/>
      <c r="E51" s="28"/>
      <c r="F51" s="28"/>
      <c r="G51" s="28"/>
    </row>
    <row r="52" spans="1:7" ht="12.75">
      <c r="A52" s="28" t="s">
        <v>171</v>
      </c>
      <c r="B52" s="28">
        <f>B50*B51</f>
        <v>0.3</v>
      </c>
      <c r="C52" s="28"/>
      <c r="D52" s="28"/>
      <c r="E52" s="28"/>
      <c r="F52" s="28"/>
      <c r="G52" s="28"/>
    </row>
    <row r="53" spans="1:7" ht="12.75">
      <c r="A53" s="28" t="s">
        <v>345</v>
      </c>
      <c r="B53" s="50">
        <f>B54/B52</f>
        <v>6982.222222222222</v>
      </c>
      <c r="C53" s="28"/>
      <c r="D53" s="28"/>
      <c r="E53" s="28"/>
      <c r="F53" s="28"/>
      <c r="G53" s="28"/>
    </row>
    <row r="54" spans="1:7" ht="12.75">
      <c r="A54" s="28" t="s">
        <v>172</v>
      </c>
      <c r="B54" s="45">
        <f>'Rep.'!B33</f>
        <v>2094.6666666666665</v>
      </c>
      <c r="C54" s="50"/>
      <c r="D54" s="50"/>
      <c r="E54" s="28"/>
      <c r="F54" s="28"/>
      <c r="G54" s="28"/>
    </row>
    <row r="55" spans="1:7" ht="12.75">
      <c r="A55" s="28" t="s">
        <v>173</v>
      </c>
      <c r="B55" s="47">
        <v>250</v>
      </c>
      <c r="C55" s="28"/>
      <c r="D55" s="50"/>
      <c r="E55" s="28"/>
      <c r="F55" s="28"/>
      <c r="G55" s="28"/>
    </row>
    <row r="56" spans="1:7" ht="12.75">
      <c r="A56" s="48" t="s">
        <v>174</v>
      </c>
      <c r="B56" s="45">
        <f>B54*B55/1000</f>
        <v>523.6666666666666</v>
      </c>
      <c r="C56" s="28"/>
      <c r="D56" s="57"/>
      <c r="E56" s="28"/>
      <c r="F56" s="28"/>
      <c r="G56" s="28"/>
    </row>
    <row r="57" spans="1:7" ht="12.75">
      <c r="A57" s="28" t="s">
        <v>175</v>
      </c>
      <c r="B57" s="49">
        <v>0.01</v>
      </c>
      <c r="C57" s="28"/>
      <c r="D57" s="28"/>
      <c r="E57" s="28"/>
      <c r="F57" s="28"/>
      <c r="G57" s="28"/>
    </row>
    <row r="58" spans="1:7" ht="12.75">
      <c r="A58" s="28" t="s">
        <v>176</v>
      </c>
      <c r="B58" s="45">
        <f>B56*B57*30.5</f>
        <v>159.71833333333333</v>
      </c>
      <c r="C58" s="28"/>
      <c r="D58" s="28"/>
      <c r="E58" s="28"/>
      <c r="F58" s="28"/>
      <c r="G58" s="28"/>
    </row>
    <row r="59" spans="1:7" ht="12.75">
      <c r="A59" s="28" t="s">
        <v>182</v>
      </c>
      <c r="B59" s="51">
        <v>0.43</v>
      </c>
      <c r="C59" s="28"/>
      <c r="D59" s="28"/>
      <c r="E59" s="28"/>
      <c r="F59" s="28"/>
      <c r="G59" s="28"/>
    </row>
    <row r="60" spans="1:7" ht="12.75">
      <c r="A60" s="48" t="s">
        <v>178</v>
      </c>
      <c r="B60" s="52">
        <f>B58*B59</f>
        <v>68.67888333333333</v>
      </c>
      <c r="C60" s="28"/>
      <c r="D60" s="28"/>
      <c r="E60" s="28"/>
      <c r="F60" s="28"/>
      <c r="G60" s="28"/>
    </row>
    <row r="61" spans="1:7" ht="12.75">
      <c r="A61" s="53" t="s">
        <v>179</v>
      </c>
      <c r="B61" s="52">
        <f>H6*2</f>
        <v>2.166666666666667</v>
      </c>
      <c r="C61" s="28"/>
      <c r="D61" s="28"/>
      <c r="E61" s="28"/>
      <c r="F61" s="28"/>
      <c r="G61" s="28"/>
    </row>
    <row r="62" spans="1:7" ht="12.75">
      <c r="A62" s="48" t="s">
        <v>183</v>
      </c>
      <c r="B62" s="58">
        <f>B60+B61</f>
        <v>70.84555</v>
      </c>
      <c r="C62" s="98"/>
      <c r="D62" s="28"/>
      <c r="E62" s="28"/>
      <c r="F62" s="28"/>
      <c r="G62" s="28"/>
    </row>
    <row r="63" spans="1:7" ht="12.75">
      <c r="A63" s="28"/>
      <c r="B63" s="28"/>
      <c r="C63" s="28"/>
      <c r="D63" s="28"/>
      <c r="E63" s="28"/>
      <c r="F63" s="28"/>
      <c r="G63" s="28"/>
    </row>
    <row r="64" spans="1:7" ht="12.75">
      <c r="A64" s="59"/>
      <c r="B64" s="60"/>
      <c r="C64" s="28"/>
      <c r="D64" s="28"/>
      <c r="E64" s="28"/>
      <c r="F64" s="28"/>
      <c r="G64" s="28"/>
    </row>
    <row r="65" spans="1:7" ht="12.75">
      <c r="A65" s="28"/>
      <c r="B65" s="28"/>
      <c r="C65" s="28"/>
      <c r="D65" s="28"/>
      <c r="E65" s="28"/>
      <c r="F65" s="28"/>
      <c r="G65" s="28"/>
    </row>
    <row r="66" spans="1:7" ht="12.75">
      <c r="A66" s="46" t="s">
        <v>184</v>
      </c>
      <c r="B66" s="28"/>
      <c r="C66" s="28"/>
      <c r="D66" s="28"/>
      <c r="E66" s="28"/>
      <c r="F66" s="28"/>
      <c r="G66" s="28"/>
    </row>
    <row r="67" spans="1:7" ht="12.75">
      <c r="A67" s="28" t="s">
        <v>185</v>
      </c>
      <c r="B67" s="45">
        <f>'Rep.'!B26</f>
        <v>864000</v>
      </c>
      <c r="C67" s="28"/>
      <c r="D67" s="61" t="s">
        <v>186</v>
      </c>
      <c r="E67" s="45"/>
      <c r="F67" s="28"/>
      <c r="G67" s="28" t="s">
        <v>353</v>
      </c>
    </row>
    <row r="68" spans="1:8" ht="12.75">
      <c r="A68" s="28" t="s">
        <v>187</v>
      </c>
      <c r="B68" s="62">
        <v>0.62</v>
      </c>
      <c r="C68" s="28"/>
      <c r="D68" s="53" t="s">
        <v>211</v>
      </c>
      <c r="F68" s="51">
        <v>2.24</v>
      </c>
      <c r="G68" t="s">
        <v>354</v>
      </c>
      <c r="H68" t="s">
        <v>355</v>
      </c>
    </row>
    <row r="69" spans="1:9" ht="12.75">
      <c r="A69" s="28" t="s">
        <v>188</v>
      </c>
      <c r="B69" s="45">
        <f>B67*B68</f>
        <v>535680</v>
      </c>
      <c r="C69" s="28"/>
      <c r="D69" s="48" t="s">
        <v>189</v>
      </c>
      <c r="F69" s="63">
        <f>410/100/1000</f>
        <v>0.0040999999999999995</v>
      </c>
      <c r="G69" t="s">
        <v>351</v>
      </c>
      <c r="H69" s="111">
        <f>B79*F68</f>
        <v>609.3844043175452</v>
      </c>
      <c r="I69" s="14">
        <f>H69/$H$72</f>
        <v>0.7918246673950768</v>
      </c>
    </row>
    <row r="70" spans="1:9" ht="12.75">
      <c r="A70" s="28" t="s">
        <v>190</v>
      </c>
      <c r="B70" s="64">
        <f>A139</f>
        <v>30</v>
      </c>
      <c r="C70" s="28"/>
      <c r="D70" s="53" t="s">
        <v>191</v>
      </c>
      <c r="F70" s="54">
        <v>80</v>
      </c>
      <c r="G70" s="28" t="s">
        <v>350</v>
      </c>
      <c r="H70" s="111">
        <f>B79*F70*F69</f>
        <v>89.23128777506909</v>
      </c>
      <c r="I70" s="14">
        <f>H70/$H$72</f>
        <v>0.11594575486856479</v>
      </c>
    </row>
    <row r="71" spans="1:9" ht="12.75">
      <c r="A71" s="28" t="s">
        <v>344</v>
      </c>
      <c r="B71" s="64">
        <v>8</v>
      </c>
      <c r="C71" s="28"/>
      <c r="D71" s="48" t="s">
        <v>193</v>
      </c>
      <c r="F71" s="66">
        <f>F69*F70</f>
        <v>0.32799999999999996</v>
      </c>
      <c r="G71" s="28" t="s">
        <v>352</v>
      </c>
      <c r="H71" s="111">
        <f>B79*F74*F72</f>
        <v>70.97943345744133</v>
      </c>
      <c r="I71" s="14">
        <f>H71/$H$72</f>
        <v>0.09222957773635837</v>
      </c>
    </row>
    <row r="72" spans="1:9" ht="12.75">
      <c r="A72" s="48" t="s">
        <v>192</v>
      </c>
      <c r="B72" s="100">
        <f>B109</f>
        <v>0.011800000000000001</v>
      </c>
      <c r="C72" s="28"/>
      <c r="D72" s="48" t="s">
        <v>195</v>
      </c>
      <c r="F72" s="51">
        <v>0.82</v>
      </c>
      <c r="G72" s="28" t="s">
        <v>92</v>
      </c>
      <c r="H72" s="124">
        <f>SUM(H69:H71)</f>
        <v>769.5951255500556</v>
      </c>
      <c r="I72" s="14">
        <f>H72/$H$72</f>
        <v>1</v>
      </c>
    </row>
    <row r="73" spans="1:7" ht="12.75">
      <c r="A73" s="53" t="s">
        <v>346</v>
      </c>
      <c r="B73" s="119">
        <f>($B$72*$B$67)/1000</f>
        <v>10.195200000000002</v>
      </c>
      <c r="C73" s="28"/>
      <c r="D73" s="48"/>
      <c r="F73" s="51"/>
      <c r="G73" s="28"/>
    </row>
    <row r="74" spans="1:7" ht="12.75">
      <c r="A74" s="48" t="s">
        <v>194</v>
      </c>
      <c r="B74" s="67">
        <f>B139</f>
        <v>0.3</v>
      </c>
      <c r="C74" s="28"/>
      <c r="D74" s="53" t="s">
        <v>197</v>
      </c>
      <c r="F74" s="68">
        <f>7/22</f>
        <v>0.3181818181818182</v>
      </c>
      <c r="G74" s="28"/>
    </row>
    <row r="75" spans="1:7" ht="12.75">
      <c r="A75" s="53" t="s">
        <v>348</v>
      </c>
      <c r="B75" s="123">
        <f>B77-B73</f>
        <v>150.5088</v>
      </c>
      <c r="C75" s="28"/>
      <c r="D75" s="53"/>
      <c r="F75" s="68"/>
      <c r="G75" s="28"/>
    </row>
    <row r="76" spans="1:7" ht="12.75">
      <c r="A76" s="53" t="s">
        <v>276</v>
      </c>
      <c r="B76" s="121">
        <f>B79/B75</f>
        <v>1.8075129764527564</v>
      </c>
      <c r="C76" s="28"/>
      <c r="D76" s="53"/>
      <c r="F76" s="68"/>
      <c r="G76" s="28"/>
    </row>
    <row r="77" spans="1:7" ht="12.75">
      <c r="A77" s="53" t="s">
        <v>347</v>
      </c>
      <c r="B77" s="120">
        <f>B74*(B67*B68)/1000</f>
        <v>160.704</v>
      </c>
      <c r="C77" s="28"/>
      <c r="D77" s="53"/>
      <c r="F77" s="68"/>
      <c r="G77" s="28"/>
    </row>
    <row r="78" spans="1:7" ht="12.75">
      <c r="A78" s="48" t="s">
        <v>196</v>
      </c>
      <c r="B78" s="67">
        <f>(B74-B72)/B70</f>
        <v>0.009606666666666668</v>
      </c>
      <c r="C78" s="28"/>
      <c r="D78" s="28" t="s">
        <v>199</v>
      </c>
      <c r="F78" s="69">
        <f>F72*F74</f>
        <v>0.26090909090909087</v>
      </c>
      <c r="G78" s="28"/>
    </row>
    <row r="79" spans="1:7" ht="12.75">
      <c r="A79" s="48" t="s">
        <v>198</v>
      </c>
      <c r="B79" s="45">
        <f>F140</f>
        <v>272.04660907033264</v>
      </c>
      <c r="C79" s="28"/>
      <c r="D79" s="48" t="s">
        <v>200</v>
      </c>
      <c r="F79" s="71">
        <f>F68+F71+F78</f>
        <v>2.828909090909091</v>
      </c>
      <c r="G79" s="28"/>
    </row>
    <row r="80" spans="1:7" ht="12.75">
      <c r="A80" s="53" t="s">
        <v>182</v>
      </c>
      <c r="B80" s="70">
        <f>F79*B79</f>
        <v>769.5951255500555</v>
      </c>
      <c r="C80" s="28"/>
      <c r="G80" s="28"/>
    </row>
    <row r="81" spans="1:7" ht="12.75">
      <c r="A81" s="48"/>
      <c r="B81" s="45"/>
      <c r="C81" s="28"/>
      <c r="D81" s="28"/>
      <c r="E81" s="28"/>
      <c r="F81" s="28"/>
      <c r="G81" s="28"/>
    </row>
    <row r="82" spans="1:7" ht="12.75">
      <c r="A82" s="44" t="s">
        <v>411</v>
      </c>
      <c r="B82" s="45"/>
      <c r="C82" s="28"/>
      <c r="D82" s="28"/>
      <c r="E82" s="28"/>
      <c r="F82" s="28"/>
      <c r="G82" s="28"/>
    </row>
    <row r="83" spans="1:7" ht="12.75">
      <c r="A83" s="28" t="s">
        <v>185</v>
      </c>
      <c r="B83" s="45">
        <f>B67*B68</f>
        <v>535680</v>
      </c>
      <c r="C83" s="28"/>
      <c r="D83" s="28"/>
      <c r="E83" s="28"/>
      <c r="F83" s="28"/>
      <c r="G83" s="28"/>
    </row>
    <row r="84" spans="1:7" ht="12.75">
      <c r="A84" s="28" t="s">
        <v>187</v>
      </c>
      <c r="B84" s="62">
        <v>0.94</v>
      </c>
      <c r="C84" s="28"/>
      <c r="D84" s="28"/>
      <c r="E84" s="28"/>
      <c r="F84" s="28"/>
      <c r="G84" s="28"/>
    </row>
    <row r="85" spans="1:7" ht="12.75">
      <c r="A85" s="28" t="s">
        <v>343</v>
      </c>
      <c r="B85" s="45">
        <f>B83*B84</f>
        <v>503539.19999999995</v>
      </c>
      <c r="C85" s="28"/>
      <c r="D85" s="28"/>
      <c r="E85" s="28"/>
      <c r="F85" s="28"/>
      <c r="G85" s="28"/>
    </row>
    <row r="86" spans="1:7" ht="12.75">
      <c r="A86" s="28" t="s">
        <v>190</v>
      </c>
      <c r="B86" s="64">
        <v>5</v>
      </c>
      <c r="C86" s="28"/>
      <c r="D86" s="28"/>
      <c r="E86" s="28"/>
      <c r="F86" s="28"/>
      <c r="G86" s="28"/>
    </row>
    <row r="87" spans="1:7" ht="12.75">
      <c r="A87" s="48" t="s">
        <v>192</v>
      </c>
      <c r="B87" s="65">
        <f>B74</f>
        <v>0.3</v>
      </c>
      <c r="C87" s="28"/>
      <c r="D87" s="28"/>
      <c r="E87" s="28"/>
      <c r="F87" s="28"/>
      <c r="G87" s="28"/>
    </row>
    <row r="88" spans="1:7" ht="12.75">
      <c r="A88" s="53" t="s">
        <v>346</v>
      </c>
      <c r="B88" s="122">
        <f>B87*B83/1000</f>
        <v>160.704</v>
      </c>
      <c r="C88" s="28"/>
      <c r="D88" s="28"/>
      <c r="E88" s="28"/>
      <c r="F88" s="28"/>
      <c r="G88" s="28"/>
    </row>
    <row r="89" spans="1:7" ht="12.75">
      <c r="A89" s="53" t="s">
        <v>347</v>
      </c>
      <c r="B89" s="122">
        <f>B90*(B85*B84)/1000</f>
        <v>236.66342399999996</v>
      </c>
      <c r="C89" s="28"/>
      <c r="D89" s="28"/>
      <c r="E89" s="28"/>
      <c r="F89" s="28"/>
      <c r="G89" s="28"/>
    </row>
    <row r="90" spans="1:7" ht="12.75">
      <c r="A90" s="48" t="s">
        <v>194</v>
      </c>
      <c r="B90" s="65">
        <f>(B93*B86)+B87</f>
        <v>0.5</v>
      </c>
      <c r="C90" s="28"/>
      <c r="D90" s="28"/>
      <c r="E90" s="28"/>
      <c r="F90" s="28"/>
      <c r="G90" s="28"/>
    </row>
    <row r="91" spans="1:7" ht="12.75">
      <c r="A91" s="53" t="s">
        <v>349</v>
      </c>
      <c r="B91" s="122">
        <f>B89-B88</f>
        <v>75.95942399999996</v>
      </c>
      <c r="C91" s="28"/>
      <c r="D91" s="28"/>
      <c r="E91" s="28"/>
      <c r="F91" s="28"/>
      <c r="G91" s="28"/>
    </row>
    <row r="92" spans="1:7" ht="12.75">
      <c r="A92" s="53" t="s">
        <v>276</v>
      </c>
      <c r="B92" s="122">
        <f>B94/B91</f>
        <v>2.440056417489423</v>
      </c>
      <c r="C92" s="28"/>
      <c r="D92" s="28"/>
      <c r="E92" s="28"/>
      <c r="F92" s="28"/>
      <c r="G92" s="28"/>
    </row>
    <row r="93" spans="1:7" ht="12.75">
      <c r="A93" s="48" t="s">
        <v>196</v>
      </c>
      <c r="B93" s="67">
        <v>0.04</v>
      </c>
      <c r="C93" s="28"/>
      <c r="D93" s="28"/>
      <c r="E93" s="28"/>
      <c r="F93" s="28"/>
      <c r="G93" s="28"/>
    </row>
    <row r="94" spans="1:7" ht="12.75">
      <c r="A94" s="48" t="s">
        <v>198</v>
      </c>
      <c r="B94" s="45">
        <f>F148</f>
        <v>185.34527999999997</v>
      </c>
      <c r="C94" s="28"/>
      <c r="D94" s="28"/>
      <c r="E94" s="28"/>
      <c r="F94" s="28"/>
      <c r="G94" s="28"/>
    </row>
    <row r="95" spans="1:7" ht="12.75">
      <c r="A95" s="53" t="s">
        <v>182</v>
      </c>
      <c r="B95" s="118">
        <f>B94*F68</f>
        <v>415.1734272</v>
      </c>
      <c r="C95" s="28"/>
      <c r="D95" s="28"/>
      <c r="E95" s="28"/>
      <c r="F95" s="28"/>
      <c r="G95" s="28"/>
    </row>
    <row r="96" spans="1:7" ht="12.75">
      <c r="A96" s="28"/>
      <c r="B96" s="28"/>
      <c r="C96" s="28"/>
      <c r="D96" s="28"/>
      <c r="E96" s="28"/>
      <c r="F96" s="28"/>
      <c r="G96" s="28"/>
    </row>
    <row r="97" spans="1:7" ht="13.5" thickBot="1">
      <c r="A97" s="163" t="s">
        <v>201</v>
      </c>
      <c r="B97" s="164">
        <f>B64+B80+B95</f>
        <v>1184.7685527500555</v>
      </c>
      <c r="C97" s="28"/>
      <c r="D97" s="28"/>
      <c r="E97" s="28"/>
      <c r="F97" s="28"/>
      <c r="G97" s="28"/>
    </row>
    <row r="98" spans="1:7" ht="12.75">
      <c r="A98" s="28"/>
      <c r="B98" s="45"/>
      <c r="C98" s="28"/>
      <c r="D98" s="28"/>
      <c r="E98" s="28"/>
      <c r="F98" s="28"/>
      <c r="G98" s="28"/>
    </row>
    <row r="99" spans="1:7" ht="13.5" thickBot="1">
      <c r="A99" s="48" t="s">
        <v>202</v>
      </c>
      <c r="B99" s="73">
        <f>B97</f>
        <v>1184.7685527500555</v>
      </c>
      <c r="C99" s="28"/>
      <c r="D99" s="28"/>
      <c r="E99" s="28"/>
      <c r="F99" s="28"/>
      <c r="G99" s="28"/>
    </row>
    <row r="100" spans="1:7" ht="12.75">
      <c r="A100" s="48" t="s">
        <v>203</v>
      </c>
      <c r="B100" s="69">
        <f>B99/B69*1000</f>
        <v>2.2117095145423677</v>
      </c>
      <c r="C100" s="28"/>
      <c r="D100" s="28"/>
      <c r="E100" s="28"/>
      <c r="F100" s="28"/>
      <c r="G100" s="28"/>
    </row>
    <row r="101" spans="1:7" ht="12.75">
      <c r="A101" s="28"/>
      <c r="B101" s="28"/>
      <c r="C101" s="48" t="s">
        <v>413</v>
      </c>
      <c r="D101" s="28"/>
      <c r="E101" s="28"/>
      <c r="F101" s="28"/>
      <c r="G101" s="28"/>
    </row>
    <row r="102" spans="1:7" ht="12.75">
      <c r="A102" s="48" t="s">
        <v>410</v>
      </c>
      <c r="B102" s="28"/>
      <c r="C102" s="69">
        <f>(B62+B80+B95)/B85*1000</f>
        <v>2.493577665353672</v>
      </c>
      <c r="D102" s="28"/>
      <c r="E102" s="28"/>
      <c r="F102" s="28"/>
      <c r="G102" s="28"/>
    </row>
    <row r="103" spans="1:7" ht="12.75">
      <c r="A103" s="28" t="s">
        <v>408</v>
      </c>
      <c r="B103" s="28"/>
      <c r="C103" s="28">
        <v>0.05</v>
      </c>
      <c r="D103" s="28"/>
      <c r="E103" s="28"/>
      <c r="F103" s="28"/>
      <c r="G103" s="28"/>
    </row>
    <row r="104" spans="1:7" ht="12.75">
      <c r="A104" s="28" t="s">
        <v>409</v>
      </c>
      <c r="B104" s="28"/>
      <c r="C104" s="69">
        <f>SUM(C102:C103)</f>
        <v>2.5435776653536717</v>
      </c>
      <c r="D104" s="28"/>
      <c r="E104" s="28"/>
      <c r="F104" s="28"/>
      <c r="G104" s="28"/>
    </row>
    <row r="105" spans="1:7" ht="12.75">
      <c r="A105" s="28"/>
      <c r="B105" s="28"/>
      <c r="C105" s="28"/>
      <c r="D105" s="28"/>
      <c r="E105" s="28"/>
      <c r="F105" s="28"/>
      <c r="G105" s="28"/>
    </row>
    <row r="106" spans="1:7" ht="12.75">
      <c r="A106" s="46" t="s">
        <v>204</v>
      </c>
      <c r="B106" s="28"/>
      <c r="C106" s="28"/>
      <c r="D106" s="28"/>
      <c r="E106" s="28"/>
      <c r="F106" s="28"/>
      <c r="G106" s="28"/>
    </row>
    <row r="107" spans="1:7" ht="12.75">
      <c r="A107" s="28"/>
      <c r="B107" s="28"/>
      <c r="C107" s="28"/>
      <c r="D107" s="28"/>
      <c r="E107" s="28"/>
      <c r="F107" s="28"/>
      <c r="G107" s="28"/>
    </row>
    <row r="108" spans="1:7" ht="12.75">
      <c r="A108" s="74" t="s">
        <v>205</v>
      </c>
      <c r="B108" s="74" t="s">
        <v>173</v>
      </c>
      <c r="C108" s="74" t="s">
        <v>206</v>
      </c>
      <c r="D108" s="75" t="s">
        <v>207</v>
      </c>
      <c r="E108" s="74" t="s">
        <v>208</v>
      </c>
      <c r="F108" s="74" t="s">
        <v>209</v>
      </c>
      <c r="G108" s="28"/>
    </row>
    <row r="109" spans="1:8" ht="12.75">
      <c r="A109" s="35">
        <v>0</v>
      </c>
      <c r="B109" s="99">
        <v>0.011800000000000001</v>
      </c>
      <c r="C109" s="76">
        <f>1-(1-$B$68)*SQRT(1-((A109-$B$70)/$B$70)^2)</f>
        <v>1</v>
      </c>
      <c r="D109" s="45">
        <f>$B$67*C109*B109/1000</f>
        <v>10.195200000000002</v>
      </c>
      <c r="E109" s="72">
        <v>0.2</v>
      </c>
      <c r="F109" s="45">
        <f>E109*D109</f>
        <v>2.0390400000000004</v>
      </c>
      <c r="G109" s="28"/>
      <c r="H109" s="15"/>
    </row>
    <row r="110" spans="1:8" ht="12.75">
      <c r="A110" s="35">
        <v>1</v>
      </c>
      <c r="B110" s="100">
        <v>0.013</v>
      </c>
      <c r="C110" s="76">
        <f aca="true" t="shared" si="0" ref="C110:C139">1-(1-$B$68)*SQRT(1-((A110-$B$70)/$B$70)^2)</f>
        <v>0.9027054871936643</v>
      </c>
      <c r="D110" s="45">
        <f aca="true" t="shared" si="1" ref="D110:D139">$B$67*C110*B110/1000</f>
        <v>10.139188032159236</v>
      </c>
      <c r="E110" s="72">
        <v>0.2</v>
      </c>
      <c r="F110" s="45">
        <f aca="true" t="shared" si="2" ref="F110:F139">E110*D110</f>
        <v>2.0278376064318473</v>
      </c>
      <c r="G110" s="28"/>
      <c r="H110" s="15"/>
    </row>
    <row r="111" spans="1:8" ht="12.75">
      <c r="A111" s="35">
        <v>2</v>
      </c>
      <c r="B111" s="100">
        <v>0.0143</v>
      </c>
      <c r="C111" s="76">
        <f t="shared" si="0"/>
        <v>0.863575824885926</v>
      </c>
      <c r="D111" s="45">
        <f t="shared" si="1"/>
        <v>10.669652031630593</v>
      </c>
      <c r="E111" s="72">
        <v>0.2</v>
      </c>
      <c r="F111" s="45">
        <f t="shared" si="2"/>
        <v>2.1339304063261184</v>
      </c>
      <c r="G111" s="28"/>
      <c r="H111" s="15"/>
    </row>
    <row r="112" spans="1:8" ht="12.75">
      <c r="A112" s="35">
        <v>3</v>
      </c>
      <c r="B112" s="100">
        <v>0.0156</v>
      </c>
      <c r="C112" s="76">
        <f t="shared" si="0"/>
        <v>0.8343618401454544</v>
      </c>
      <c r="D112" s="45">
        <f t="shared" si="1"/>
        <v>11.245862626216493</v>
      </c>
      <c r="E112" s="72">
        <v>0.2</v>
      </c>
      <c r="F112" s="45">
        <f t="shared" si="2"/>
        <v>2.249172525243299</v>
      </c>
      <c r="G112" s="28"/>
      <c r="H112" s="15"/>
    </row>
    <row r="113" spans="1:8" ht="12.75">
      <c r="A113" s="35">
        <v>4</v>
      </c>
      <c r="B113" s="100">
        <v>0.0171</v>
      </c>
      <c r="C113" s="76">
        <f t="shared" si="0"/>
        <v>0.8104226924034537</v>
      </c>
      <c r="D113" s="45">
        <f t="shared" si="1"/>
        <v>11.973509026645587</v>
      </c>
      <c r="E113" s="72">
        <v>0.2</v>
      </c>
      <c r="F113" s="45">
        <f t="shared" si="2"/>
        <v>2.3947018053291176</v>
      </c>
      <c r="G113" s="28"/>
      <c r="H113" s="15"/>
    </row>
    <row r="114" spans="1:8" ht="12.75">
      <c r="A114" s="35">
        <v>5</v>
      </c>
      <c r="B114" s="100">
        <v>0.018600000000000002</v>
      </c>
      <c r="C114" s="76">
        <f t="shared" si="0"/>
        <v>0.7899470966108246</v>
      </c>
      <c r="D114" s="45">
        <f t="shared" si="1"/>
        <v>12.694765821374597</v>
      </c>
      <c r="E114" s="72">
        <v>0.2</v>
      </c>
      <c r="F114" s="45">
        <f t="shared" si="2"/>
        <v>2.5389531642749197</v>
      </c>
      <c r="G114" s="28"/>
      <c r="H114" s="15"/>
    </row>
    <row r="115" spans="1:8" ht="12.75">
      <c r="A115" s="35">
        <v>6</v>
      </c>
      <c r="B115" s="100">
        <v>0.020300000000000002</v>
      </c>
      <c r="C115" s="76">
        <f t="shared" si="0"/>
        <v>0.772</v>
      </c>
      <c r="D115" s="45">
        <f t="shared" si="1"/>
        <v>13.540262400000001</v>
      </c>
      <c r="E115" s="72">
        <v>0.2</v>
      </c>
      <c r="F115" s="45">
        <f t="shared" si="2"/>
        <v>2.7080524800000005</v>
      </c>
      <c r="G115" s="28"/>
      <c r="H115" s="15"/>
    </row>
    <row r="116" spans="1:8" ht="12.75">
      <c r="A116" s="35">
        <v>7</v>
      </c>
      <c r="B116" s="100">
        <v>0.022</v>
      </c>
      <c r="C116" s="76">
        <f t="shared" si="0"/>
        <v>0.7560227697327292</v>
      </c>
      <c r="D116" s="45">
        <f t="shared" si="1"/>
        <v>14.370480807079716</v>
      </c>
      <c r="E116" s="72">
        <v>0.2</v>
      </c>
      <c r="F116" s="45">
        <f t="shared" si="2"/>
        <v>2.8740961614159435</v>
      </c>
      <c r="G116" s="28"/>
      <c r="H116" s="15"/>
    </row>
    <row r="117" spans="1:8" ht="12.75">
      <c r="A117" s="35">
        <v>8</v>
      </c>
      <c r="B117" s="100">
        <v>0.023</v>
      </c>
      <c r="C117" s="76">
        <f t="shared" si="0"/>
        <v>0.7416496779779655</v>
      </c>
      <c r="D117" s="45">
        <f t="shared" si="1"/>
        <v>14.738062400778132</v>
      </c>
      <c r="E117" s="72">
        <v>0.2</v>
      </c>
      <c r="F117" s="45">
        <f t="shared" si="2"/>
        <v>2.9476124801556267</v>
      </c>
      <c r="G117" s="28"/>
      <c r="H117" s="15"/>
    </row>
    <row r="118" spans="1:8" ht="12.75">
      <c r="A118" s="35">
        <v>9</v>
      </c>
      <c r="B118" s="100">
        <v>0.0258</v>
      </c>
      <c r="C118" s="76">
        <f t="shared" si="0"/>
        <v>0.7286257197153717</v>
      </c>
      <c r="D118" s="45">
        <f t="shared" si="1"/>
        <v>16.241941643319294</v>
      </c>
      <c r="E118" s="72">
        <v>0.2</v>
      </c>
      <c r="F118" s="45">
        <f t="shared" si="2"/>
        <v>3.248388328663859</v>
      </c>
      <c r="G118" s="28"/>
      <c r="H118" s="15"/>
    </row>
    <row r="119" spans="1:8" ht="12.75">
      <c r="A119" s="35">
        <v>10</v>
      </c>
      <c r="B119" s="100">
        <v>0.0293</v>
      </c>
      <c r="C119" s="76">
        <f t="shared" si="0"/>
        <v>0.7167647228500267</v>
      </c>
      <c r="D119" s="45">
        <f t="shared" si="1"/>
        <v>18.145042311892997</v>
      </c>
      <c r="E119" s="72">
        <v>0.2</v>
      </c>
      <c r="F119" s="45">
        <f t="shared" si="2"/>
        <v>3.6290084623785996</v>
      </c>
      <c r="G119" s="28"/>
      <c r="H119" s="15"/>
    </row>
    <row r="120" spans="1:8" ht="12.75">
      <c r="A120" s="35">
        <v>11</v>
      </c>
      <c r="B120" s="100">
        <v>0.033100000000000004</v>
      </c>
      <c r="C120" s="76">
        <f t="shared" si="0"/>
        <v>0.7059259352551546</v>
      </c>
      <c r="D120" s="45">
        <f t="shared" si="1"/>
        <v>20.188352266801015</v>
      </c>
      <c r="E120" s="72">
        <v>0.2</v>
      </c>
      <c r="F120" s="45">
        <f t="shared" si="2"/>
        <v>4.037670453360203</v>
      </c>
      <c r="G120" s="28"/>
      <c r="H120" s="15"/>
    </row>
    <row r="121" spans="1:8" ht="12.75">
      <c r="A121" s="35">
        <v>12</v>
      </c>
      <c r="B121" s="100">
        <v>0.0373</v>
      </c>
      <c r="C121" s="76">
        <f t="shared" si="0"/>
        <v>0.696</v>
      </c>
      <c r="D121" s="45">
        <f t="shared" si="1"/>
        <v>22.430131199999998</v>
      </c>
      <c r="E121" s="72">
        <v>0.2</v>
      </c>
      <c r="F121" s="45">
        <f t="shared" si="2"/>
        <v>4.48602624</v>
      </c>
      <c r="G121" s="28"/>
      <c r="H121" s="15"/>
    </row>
    <row r="122" spans="1:8" ht="12.75">
      <c r="A122" s="35">
        <v>13</v>
      </c>
      <c r="B122" s="100">
        <v>0.0417</v>
      </c>
      <c r="C122" s="76">
        <f t="shared" si="0"/>
        <v>0.6869000869441904</v>
      </c>
      <c r="D122" s="45">
        <f t="shared" si="1"/>
        <v>24.74818585249485</v>
      </c>
      <c r="E122" s="72">
        <v>0.2</v>
      </c>
      <c r="F122" s="45">
        <f t="shared" si="2"/>
        <v>4.949637170498971</v>
      </c>
      <c r="G122" s="28"/>
      <c r="H122" s="15"/>
    </row>
    <row r="123" spans="1:8" ht="12.75">
      <c r="A123" s="35">
        <v>14</v>
      </c>
      <c r="B123" s="100">
        <v>0.0466</v>
      </c>
      <c r="C123" s="76">
        <f t="shared" si="0"/>
        <v>0.6785560356419456</v>
      </c>
      <c r="D123" s="45">
        <f t="shared" si="1"/>
        <v>27.32029452943027</v>
      </c>
      <c r="E123" s="72">
        <v>0.2</v>
      </c>
      <c r="F123" s="45">
        <f t="shared" si="2"/>
        <v>5.464058905886055</v>
      </c>
      <c r="G123" s="28"/>
      <c r="H123" s="15"/>
    </row>
    <row r="124" spans="1:8" ht="12.75">
      <c r="A124" s="35">
        <v>15</v>
      </c>
      <c r="B124" s="100">
        <v>0.0518</v>
      </c>
      <c r="C124" s="76">
        <f t="shared" si="0"/>
        <v>0.6709103465619133</v>
      </c>
      <c r="D124" s="45">
        <f t="shared" si="1"/>
        <v>30.026726742447742</v>
      </c>
      <c r="E124" s="72">
        <v>0.2</v>
      </c>
      <c r="F124" s="45">
        <f t="shared" si="2"/>
        <v>6.0053453484895485</v>
      </c>
      <c r="G124" s="28"/>
      <c r="H124" s="15"/>
    </row>
    <row r="125" spans="1:8" ht="12.75">
      <c r="A125" s="35">
        <v>16</v>
      </c>
      <c r="B125" s="100">
        <v>0.0574</v>
      </c>
      <c r="C125" s="76">
        <f t="shared" si="0"/>
        <v>0.6639153545773195</v>
      </c>
      <c r="D125" s="45">
        <f t="shared" si="1"/>
        <v>32.92595252876576</v>
      </c>
      <c r="E125" s="72">
        <v>0.2</v>
      </c>
      <c r="F125" s="45">
        <f t="shared" si="2"/>
        <v>6.585190505753153</v>
      </c>
      <c r="G125" s="28"/>
      <c r="H125" s="15"/>
    </row>
    <row r="126" spans="1:8" ht="12.75">
      <c r="A126" s="35">
        <v>17</v>
      </c>
      <c r="B126" s="100">
        <v>0.06709999999999999</v>
      </c>
      <c r="C126" s="76">
        <f t="shared" si="0"/>
        <v>0.6575311855235737</v>
      </c>
      <c r="D126" s="45">
        <f t="shared" si="1"/>
        <v>38.11997596201787</v>
      </c>
      <c r="E126" s="72">
        <v>0.2</v>
      </c>
      <c r="F126" s="45">
        <f t="shared" si="2"/>
        <v>7.623995192403574</v>
      </c>
      <c r="G126" s="28"/>
      <c r="H126" s="15"/>
    </row>
    <row r="127" spans="1:8" ht="12.75">
      <c r="A127" s="35">
        <v>18</v>
      </c>
      <c r="B127" s="100">
        <v>0.078</v>
      </c>
      <c r="C127" s="76">
        <f t="shared" si="0"/>
        <v>0.6517242471833562</v>
      </c>
      <c r="D127" s="45">
        <f t="shared" si="1"/>
        <v>43.92100046618074</v>
      </c>
      <c r="E127" s="72">
        <v>0.2</v>
      </c>
      <c r="F127" s="45">
        <f t="shared" si="2"/>
        <v>8.78420009323615</v>
      </c>
      <c r="G127" s="28"/>
      <c r="H127" s="15"/>
    </row>
    <row r="128" spans="1:8" ht="12.75">
      <c r="A128" s="35">
        <v>19</v>
      </c>
      <c r="B128" s="100">
        <v>0.0901</v>
      </c>
      <c r="C128" s="76">
        <f t="shared" si="0"/>
        <v>0.6464660946638607</v>
      </c>
      <c r="D128" s="45">
        <f t="shared" si="1"/>
        <v>50.32505819164077</v>
      </c>
      <c r="E128" s="72">
        <v>0.2</v>
      </c>
      <c r="F128" s="45">
        <f t="shared" si="2"/>
        <v>10.065011638328155</v>
      </c>
      <c r="G128" s="28"/>
      <c r="H128" s="15"/>
    </row>
    <row r="129" spans="1:8" ht="12.75">
      <c r="A129" s="35">
        <v>20</v>
      </c>
      <c r="B129" s="100">
        <v>0.1033</v>
      </c>
      <c r="C129" s="76">
        <f t="shared" si="0"/>
        <v>0.6417325641988159</v>
      </c>
      <c r="D129" s="45">
        <f t="shared" si="1"/>
        <v>57.27540143382136</v>
      </c>
      <c r="E129" s="72">
        <v>0.2</v>
      </c>
      <c r="F129" s="45">
        <f t="shared" si="2"/>
        <v>11.455080286764272</v>
      </c>
      <c r="G129" s="28"/>
      <c r="H129" s="15"/>
    </row>
    <row r="130" spans="1:8" ht="12.75">
      <c r="A130" s="35">
        <v>21</v>
      </c>
      <c r="B130" s="100">
        <v>0.1179</v>
      </c>
      <c r="C130" s="76">
        <f t="shared" si="0"/>
        <v>0.6375031034615606</v>
      </c>
      <c r="D130" s="45">
        <f t="shared" si="1"/>
        <v>64.93963613597394</v>
      </c>
      <c r="E130" s="72">
        <v>0.2</v>
      </c>
      <c r="F130" s="45">
        <f t="shared" si="2"/>
        <v>12.987927227194788</v>
      </c>
      <c r="G130" s="28"/>
      <c r="H130" s="15"/>
    </row>
    <row r="131" spans="1:8" ht="12.75">
      <c r="A131" s="35">
        <v>22</v>
      </c>
      <c r="B131" s="100">
        <v>0.1338</v>
      </c>
      <c r="C131" s="76">
        <f t="shared" si="0"/>
        <v>0.633760248531709</v>
      </c>
      <c r="D131" s="45">
        <f t="shared" si="1"/>
        <v>73.26471276306086</v>
      </c>
      <c r="E131" s="72">
        <v>0.2</v>
      </c>
      <c r="F131" s="45">
        <f t="shared" si="2"/>
        <v>14.652942552612172</v>
      </c>
      <c r="G131" s="28"/>
      <c r="H131" s="15"/>
    </row>
    <row r="132" spans="1:8" ht="12.75">
      <c r="A132" s="35">
        <v>23</v>
      </c>
      <c r="B132" s="100">
        <v>0.1512</v>
      </c>
      <c r="C132" s="76">
        <f t="shared" si="0"/>
        <v>0.6304892123060245</v>
      </c>
      <c r="D132" s="45">
        <f t="shared" si="1"/>
        <v>82.36509313017967</v>
      </c>
      <c r="E132" s="72">
        <v>0.19</v>
      </c>
      <c r="F132" s="45">
        <f t="shared" si="2"/>
        <v>15.649367694734138</v>
      </c>
      <c r="G132" s="28"/>
      <c r="H132" s="15"/>
    </row>
    <row r="133" spans="1:8" ht="12.75">
      <c r="A133" s="35">
        <v>24</v>
      </c>
      <c r="B133" s="100">
        <v>0.17</v>
      </c>
      <c r="C133" s="76">
        <f t="shared" si="0"/>
        <v>0.627677559096957</v>
      </c>
      <c r="D133" s="45">
        <f t="shared" si="1"/>
        <v>92.19327988016104</v>
      </c>
      <c r="E133" s="72">
        <v>0.18</v>
      </c>
      <c r="F133" s="45">
        <f t="shared" si="2"/>
        <v>16.594790378428986</v>
      </c>
      <c r="G133" s="28"/>
      <c r="H133" s="15"/>
    </row>
    <row r="134" spans="1:8" ht="12.75">
      <c r="A134" s="35">
        <v>25</v>
      </c>
      <c r="B134" s="100">
        <v>0.1904</v>
      </c>
      <c r="C134" s="76">
        <f t="shared" si="0"/>
        <v>0.6253149470703576</v>
      </c>
      <c r="D134" s="45">
        <f t="shared" si="1"/>
        <v>102.86781055677741</v>
      </c>
      <c r="E134" s="72">
        <v>0.17</v>
      </c>
      <c r="F134" s="45">
        <f t="shared" si="2"/>
        <v>17.487527794652163</v>
      </c>
      <c r="G134" s="28"/>
      <c r="H134" s="15"/>
    </row>
    <row r="135" spans="1:8" ht="12.75">
      <c r="A135" s="35">
        <v>26</v>
      </c>
      <c r="B135" s="100">
        <v>0.2125</v>
      </c>
      <c r="C135" s="76">
        <f t="shared" si="0"/>
        <v>0.6233929250679312</v>
      </c>
      <c r="D135" s="45">
        <f t="shared" si="1"/>
        <v>114.45494104247216</v>
      </c>
      <c r="E135" s="72">
        <v>0.16</v>
      </c>
      <c r="F135" s="45">
        <f t="shared" si="2"/>
        <v>18.312790566795545</v>
      </c>
      <c r="G135" s="28"/>
      <c r="H135" s="15"/>
    </row>
    <row r="136" spans="1:8" ht="12.75">
      <c r="A136" s="35">
        <v>27</v>
      </c>
      <c r="B136" s="100">
        <v>0.2362</v>
      </c>
      <c r="C136" s="76">
        <f t="shared" si="0"/>
        <v>0.6219047738994844</v>
      </c>
      <c r="D136" s="45">
        <f t="shared" si="1"/>
        <v>126.91633616213028</v>
      </c>
      <c r="E136" s="72">
        <v>0.15</v>
      </c>
      <c r="F136" s="45">
        <f t="shared" si="2"/>
        <v>19.03745042431954</v>
      </c>
      <c r="G136" s="28"/>
      <c r="H136" s="15"/>
    </row>
    <row r="137" spans="1:8" ht="12.75">
      <c r="A137" s="35">
        <f>A136+1</f>
        <v>28</v>
      </c>
      <c r="B137" s="100">
        <v>0.2617</v>
      </c>
      <c r="C137" s="76">
        <f>1-(1-$B$68)*SQRT(1-((A137-$B$70)/$B$70)^2)</f>
        <v>0.6208453848069073</v>
      </c>
      <c r="D137" s="45">
        <f>$B$67*C137*B137/1000</f>
        <v>140.37860494422802</v>
      </c>
      <c r="E137" s="72">
        <v>0.14</v>
      </c>
      <c r="F137" s="45">
        <f>E137*D137</f>
        <v>19.653004692191924</v>
      </c>
      <c r="G137" s="28"/>
      <c r="H137" s="15"/>
    </row>
    <row r="138" spans="1:8" ht="12.75">
      <c r="A138" s="35">
        <f>A137+1</f>
        <v>29</v>
      </c>
      <c r="B138" s="100">
        <v>0.2891</v>
      </c>
      <c r="C138" s="76">
        <f>1-(1-$B$68)*SQRT(1-((A138-$B$70)/$B$70)^2)</f>
        <v>0.6202111697856879</v>
      </c>
      <c r="D138" s="45">
        <f>$B$67*C138*B138/1000</f>
        <v>154.91783449587663</v>
      </c>
      <c r="E138" s="72">
        <v>0.13</v>
      </c>
      <c r="F138" s="45">
        <f>E138*D138</f>
        <v>20.139318484463963</v>
      </c>
      <c r="G138" s="28"/>
      <c r="H138" s="15"/>
    </row>
    <row r="139" spans="1:8" ht="12.75">
      <c r="A139" s="35">
        <f>A138+1</f>
        <v>30</v>
      </c>
      <c r="B139" s="101">
        <v>0.3</v>
      </c>
      <c r="C139" s="76">
        <f t="shared" si="0"/>
        <v>0.62</v>
      </c>
      <c r="D139" s="45">
        <f t="shared" si="1"/>
        <v>160.704</v>
      </c>
      <c r="E139" s="72">
        <v>0.12</v>
      </c>
      <c r="F139" s="45">
        <f t="shared" si="2"/>
        <v>19.28448</v>
      </c>
      <c r="G139" s="28"/>
      <c r="H139" s="15"/>
    </row>
    <row r="140" spans="1:7" ht="12.75">
      <c r="A140" s="28"/>
      <c r="B140" s="28"/>
      <c r="C140" s="28"/>
      <c r="D140" s="28"/>
      <c r="E140" s="28"/>
      <c r="F140" s="77">
        <f>SUM(F109:F139)</f>
        <v>272.04660907033264</v>
      </c>
      <c r="G140" s="28"/>
    </row>
    <row r="141" spans="1:7" ht="12.75">
      <c r="A141" s="28" t="s">
        <v>275</v>
      </c>
      <c r="B141" s="28"/>
      <c r="C141" s="28"/>
      <c r="D141" s="28"/>
      <c r="E141" s="28"/>
      <c r="F141" s="115"/>
      <c r="G141" s="28"/>
    </row>
    <row r="142" spans="1:7" ht="12.75">
      <c r="A142" s="28">
        <v>1</v>
      </c>
      <c r="B142" s="28">
        <v>0.3</v>
      </c>
      <c r="C142" s="116">
        <v>1</v>
      </c>
      <c r="D142" s="45">
        <f aca="true" t="shared" si="3" ref="D142:D147">$B$67*C142*B142/1000</f>
        <v>259.2</v>
      </c>
      <c r="E142" s="116">
        <v>0.12</v>
      </c>
      <c r="F142" s="45">
        <f aca="true" t="shared" si="4" ref="F142:F147">E142*D142</f>
        <v>31.104</v>
      </c>
      <c r="G142" s="28"/>
    </row>
    <row r="143" spans="1:7" ht="12.75">
      <c r="A143" s="28">
        <v>2</v>
      </c>
      <c r="B143" s="28">
        <f>B142+0.04</f>
        <v>0.33999999999999997</v>
      </c>
      <c r="C143" s="116">
        <f>C142-2%</f>
        <v>0.98</v>
      </c>
      <c r="D143" s="45">
        <f t="shared" si="3"/>
        <v>287.8848</v>
      </c>
      <c r="E143" s="116">
        <v>0.11</v>
      </c>
      <c r="F143" s="45">
        <f t="shared" si="4"/>
        <v>31.667327999999998</v>
      </c>
      <c r="G143" s="28"/>
    </row>
    <row r="144" spans="1:7" ht="12.75">
      <c r="A144" s="28">
        <v>3</v>
      </c>
      <c r="B144" s="28">
        <f>B143+0.04</f>
        <v>0.37999999999999995</v>
      </c>
      <c r="C144" s="116">
        <f>C143-2%</f>
        <v>0.96</v>
      </c>
      <c r="D144" s="45">
        <f t="shared" si="3"/>
        <v>315.18719999999996</v>
      </c>
      <c r="E144" s="116">
        <v>0.1</v>
      </c>
      <c r="F144" s="45">
        <f t="shared" si="4"/>
        <v>31.51872</v>
      </c>
      <c r="G144" s="28"/>
    </row>
    <row r="145" spans="1:7" ht="12.75">
      <c r="A145" s="28">
        <v>4</v>
      </c>
      <c r="B145" s="28">
        <f>B144+0.04</f>
        <v>0.41999999999999993</v>
      </c>
      <c r="C145" s="116">
        <f>C144-2%</f>
        <v>0.94</v>
      </c>
      <c r="D145" s="45">
        <f t="shared" si="3"/>
        <v>341.1072</v>
      </c>
      <c r="E145" s="116">
        <v>0.09</v>
      </c>
      <c r="F145" s="45">
        <f t="shared" si="4"/>
        <v>30.699647999999996</v>
      </c>
      <c r="G145" s="28"/>
    </row>
    <row r="146" spans="1:7" ht="12.75">
      <c r="A146" s="28">
        <v>5</v>
      </c>
      <c r="B146" s="28">
        <f>B145+0.04</f>
        <v>0.4599999999999999</v>
      </c>
      <c r="C146" s="116">
        <f>C145-2%</f>
        <v>0.9199999999999999</v>
      </c>
      <c r="D146" s="45">
        <f t="shared" si="3"/>
        <v>365.64479999999986</v>
      </c>
      <c r="E146" s="116">
        <v>0.08</v>
      </c>
      <c r="F146" s="45">
        <f t="shared" si="4"/>
        <v>29.25158399999999</v>
      </c>
      <c r="G146" s="28"/>
    </row>
    <row r="147" spans="1:7" ht="12.75">
      <c r="A147" s="28">
        <v>6</v>
      </c>
      <c r="B147" s="28">
        <f>B146+0.04</f>
        <v>0.4999999999999999</v>
      </c>
      <c r="C147" s="116">
        <f>C146-2%</f>
        <v>0.8999999999999999</v>
      </c>
      <c r="D147" s="45">
        <f t="shared" si="3"/>
        <v>388.7999999999999</v>
      </c>
      <c r="E147" s="116">
        <v>0.08</v>
      </c>
      <c r="F147" s="117">
        <f t="shared" si="4"/>
        <v>31.103999999999992</v>
      </c>
      <c r="G147" s="28"/>
    </row>
    <row r="148" spans="1:7" ht="12.75">
      <c r="A148" s="28"/>
      <c r="B148" s="28"/>
      <c r="C148" s="28"/>
      <c r="D148" s="28"/>
      <c r="E148" s="28"/>
      <c r="F148" s="45">
        <f>SUM(F142:F147)</f>
        <v>185.34527999999997</v>
      </c>
      <c r="G148" s="28"/>
    </row>
  </sheetData>
  <printOptions/>
  <pageMargins left="0.75" right="0.75" top="1" bottom="1" header="0" footer="0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5" sqref="B5"/>
    </sheetView>
  </sheetViews>
  <sheetFormatPr defaultColWidth="11.421875" defaultRowHeight="12.75"/>
  <sheetData>
    <row r="1" spans="1:3" ht="12.75">
      <c r="A1" s="2" t="s">
        <v>285</v>
      </c>
      <c r="B1" s="2"/>
      <c r="C1" s="2"/>
    </row>
    <row r="2" spans="1:2" ht="12.75">
      <c r="A2" t="s">
        <v>269</v>
      </c>
      <c r="B2">
        <v>1000</v>
      </c>
    </row>
    <row r="3" spans="1:2" ht="12.75">
      <c r="A3" t="s">
        <v>441</v>
      </c>
      <c r="B3">
        <v>250</v>
      </c>
    </row>
    <row r="4" spans="1:2" ht="12.75">
      <c r="A4" t="s">
        <v>270</v>
      </c>
      <c r="B4">
        <v>150</v>
      </c>
    </row>
    <row r="5" spans="1:2" ht="12.75">
      <c r="A5" t="s">
        <v>153</v>
      </c>
      <c r="B5">
        <v>120</v>
      </c>
    </row>
    <row r="6" spans="1:2" ht="12.75">
      <c r="A6" t="s">
        <v>281</v>
      </c>
      <c r="B6">
        <v>30</v>
      </c>
    </row>
    <row r="7" spans="1:2" ht="12.75">
      <c r="A7" t="s">
        <v>271</v>
      </c>
      <c r="B7">
        <v>80</v>
      </c>
    </row>
    <row r="8" spans="1:2" ht="12.75">
      <c r="A8" t="s">
        <v>272</v>
      </c>
      <c r="B8">
        <v>15</v>
      </c>
    </row>
    <row r="9" spans="1:2" ht="12.75">
      <c r="A9" t="s">
        <v>273</v>
      </c>
      <c r="B9">
        <v>25</v>
      </c>
    </row>
    <row r="10" spans="1:2" ht="12.75">
      <c r="A10" s="2" t="s">
        <v>279</v>
      </c>
      <c r="B10">
        <f>SUM(B2:B9)</f>
        <v>1670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C4" sqref="C4"/>
    </sheetView>
  </sheetViews>
  <sheetFormatPr defaultColWidth="11.421875" defaultRowHeight="12.75"/>
  <cols>
    <col min="1" max="1" width="13.140625" style="0" bestFit="1" customWidth="1"/>
  </cols>
  <sheetData>
    <row r="2" spans="3:8" ht="12.75">
      <c r="C2">
        <f aca="true" t="shared" si="0" ref="C2:H2">C5/H5</f>
        <v>0.6604</v>
      </c>
      <c r="D2">
        <f t="shared" si="0"/>
        <v>0.7982000000000001</v>
      </c>
      <c r="E2">
        <f t="shared" si="0"/>
        <v>0.9114</v>
      </c>
      <c r="F2">
        <f t="shared" si="0"/>
        <v>0.9182000000000001</v>
      </c>
      <c r="G2">
        <f t="shared" si="0"/>
        <v>0.925</v>
      </c>
      <c r="H2" t="e">
        <f t="shared" si="0"/>
        <v>#DIV/0!</v>
      </c>
    </row>
    <row r="3" spans="1:12" ht="12.75">
      <c r="A3" t="s">
        <v>282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</row>
    <row r="4" spans="1:12" ht="12.75">
      <c r="A4" s="21" t="s">
        <v>283</v>
      </c>
      <c r="B4" s="80"/>
      <c r="C4" s="86">
        <v>330.2</v>
      </c>
      <c r="D4" s="86">
        <v>399.1</v>
      </c>
      <c r="E4" s="86">
        <v>455.7</v>
      </c>
      <c r="F4" s="86">
        <v>459.1</v>
      </c>
      <c r="G4" s="86">
        <v>462.5</v>
      </c>
      <c r="H4" s="86">
        <v>500</v>
      </c>
      <c r="I4" s="86">
        <v>500</v>
      </c>
      <c r="J4" s="86">
        <v>500</v>
      </c>
      <c r="K4" s="86">
        <v>500</v>
      </c>
      <c r="L4" s="86">
        <v>500</v>
      </c>
    </row>
    <row r="5" spans="1:12" ht="12.75">
      <c r="A5" t="s">
        <v>284</v>
      </c>
      <c r="C5" s="26">
        <f>C4*12</f>
        <v>3962.3999999999996</v>
      </c>
      <c r="D5" s="26">
        <f aca="true" t="shared" si="1" ref="D5:L5">D4*12</f>
        <v>4789.200000000001</v>
      </c>
      <c r="E5" s="26">
        <f t="shared" si="1"/>
        <v>5468.4</v>
      </c>
      <c r="F5" s="26">
        <f t="shared" si="1"/>
        <v>5509.200000000001</v>
      </c>
      <c r="G5" s="26">
        <f t="shared" si="1"/>
        <v>5550</v>
      </c>
      <c r="H5" s="26">
        <f t="shared" si="1"/>
        <v>6000</v>
      </c>
      <c r="I5" s="26">
        <f t="shared" si="1"/>
        <v>6000</v>
      </c>
      <c r="J5" s="26">
        <f t="shared" si="1"/>
        <v>6000</v>
      </c>
      <c r="K5" s="26">
        <f t="shared" si="1"/>
        <v>6000</v>
      </c>
      <c r="L5" s="26">
        <f t="shared" si="1"/>
        <v>6000</v>
      </c>
    </row>
    <row r="6" spans="1:12" ht="12.75">
      <c r="A6" t="s">
        <v>274</v>
      </c>
      <c r="B6">
        <v>30</v>
      </c>
      <c r="C6" s="86">
        <f>$B$6*C5</f>
        <v>118871.99999999999</v>
      </c>
      <c r="D6" s="86">
        <f aca="true" t="shared" si="2" ref="D6:L6">$B$6*D5</f>
        <v>143676.00000000003</v>
      </c>
      <c r="E6" s="86">
        <f t="shared" si="2"/>
        <v>164052</v>
      </c>
      <c r="F6" s="86">
        <f t="shared" si="2"/>
        <v>165276.00000000003</v>
      </c>
      <c r="G6" s="86">
        <f t="shared" si="2"/>
        <v>166500</v>
      </c>
      <c r="H6" s="86">
        <f t="shared" si="2"/>
        <v>180000</v>
      </c>
      <c r="I6" s="86">
        <f t="shared" si="2"/>
        <v>180000</v>
      </c>
      <c r="J6" s="86">
        <f t="shared" si="2"/>
        <v>180000</v>
      </c>
      <c r="K6" s="86">
        <f t="shared" si="2"/>
        <v>180000</v>
      </c>
      <c r="L6" s="86">
        <f t="shared" si="2"/>
        <v>180000</v>
      </c>
    </row>
    <row r="7" spans="1:12" ht="12.75">
      <c r="A7" s="80" t="s">
        <v>277</v>
      </c>
      <c r="B7">
        <f>'CVde producción'!B80/'CVde producción'!B69</f>
        <v>0.0014366695145423677</v>
      </c>
      <c r="C7" s="26">
        <f>$B$7*C5*1000</f>
        <v>5692.659284422677</v>
      </c>
      <c r="D7" s="26">
        <f aca="true" t="shared" si="3" ref="D7:L7">$B$7*D5*1000</f>
        <v>6880.497639046308</v>
      </c>
      <c r="E7" s="26">
        <f t="shared" si="3"/>
        <v>7856.283573323483</v>
      </c>
      <c r="F7" s="26">
        <f t="shared" si="3"/>
        <v>7914.899689516814</v>
      </c>
      <c r="G7" s="26">
        <f t="shared" si="3"/>
        <v>7973.515805710141</v>
      </c>
      <c r="H7" s="26">
        <f t="shared" si="3"/>
        <v>8620.017087254206</v>
      </c>
      <c r="I7" s="26">
        <f t="shared" si="3"/>
        <v>8620.017087254206</v>
      </c>
      <c r="J7" s="26">
        <f t="shared" si="3"/>
        <v>8620.017087254206</v>
      </c>
      <c r="K7" s="26">
        <f t="shared" si="3"/>
        <v>8620.017087254206</v>
      </c>
      <c r="L7" s="26">
        <f t="shared" si="3"/>
        <v>8620.017087254206</v>
      </c>
    </row>
  </sheetData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pane xSplit="2" ySplit="1" topLeftCell="C2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2" sqref="C2"/>
    </sheetView>
  </sheetViews>
  <sheetFormatPr defaultColWidth="11.421875" defaultRowHeight="12.75"/>
  <cols>
    <col min="1" max="1" width="38.140625" style="0" bestFit="1" customWidth="1"/>
    <col min="2" max="2" width="9.00390625" style="0" customWidth="1"/>
    <col min="3" max="3" width="9.28125" style="0" bestFit="1" customWidth="1"/>
    <col min="4" max="4" width="10.28125" style="0" bestFit="1" customWidth="1"/>
    <col min="5" max="7" width="9.140625" style="0" customWidth="1"/>
    <col min="8" max="9" width="10.28125" style="0" bestFit="1" customWidth="1"/>
    <col min="10" max="12" width="9.140625" style="0" customWidth="1"/>
    <col min="13" max="13" width="9.28125" style="0" bestFit="1" customWidth="1"/>
    <col min="14" max="14" width="9.140625" style="0" customWidth="1"/>
    <col min="15" max="15" width="9.28125" style="0" bestFit="1" customWidth="1"/>
    <col min="16" max="16384" width="9.140625" style="0" customWidth="1"/>
  </cols>
  <sheetData>
    <row r="1" spans="1:13" ht="12.75">
      <c r="A1" s="2" t="s">
        <v>398</v>
      </c>
      <c r="B1" s="2"/>
      <c r="C1" s="147">
        <v>0</v>
      </c>
      <c r="D1" s="2">
        <v>1</v>
      </c>
      <c r="E1" s="2">
        <f>D1+1</f>
        <v>2</v>
      </c>
      <c r="F1" s="2">
        <f aca="true" t="shared" si="0" ref="F1:M1">E1+1</f>
        <v>3</v>
      </c>
      <c r="G1" s="2">
        <f t="shared" si="0"/>
        <v>4</v>
      </c>
      <c r="H1" s="2">
        <f t="shared" si="0"/>
        <v>5</v>
      </c>
      <c r="I1" s="2">
        <f t="shared" si="0"/>
        <v>6</v>
      </c>
      <c r="J1" s="2">
        <f t="shared" si="0"/>
        <v>7</v>
      </c>
      <c r="K1" s="2">
        <f t="shared" si="0"/>
        <v>8</v>
      </c>
      <c r="L1" s="2">
        <f t="shared" si="0"/>
        <v>9</v>
      </c>
      <c r="M1" s="2">
        <f t="shared" si="0"/>
        <v>10</v>
      </c>
    </row>
    <row r="2" spans="1:14" ht="12.75">
      <c r="A2" s="80" t="s">
        <v>405</v>
      </c>
      <c r="B2" s="80"/>
      <c r="C2" s="92">
        <v>0</v>
      </c>
      <c r="D2" s="92">
        <f>Ventas!C5</f>
        <v>3962.3999999999996</v>
      </c>
      <c r="E2" s="92">
        <f>Ventas!D5</f>
        <v>4789.200000000001</v>
      </c>
      <c r="F2" s="92">
        <f>Ventas!E5</f>
        <v>5468.4</v>
      </c>
      <c r="G2" s="92">
        <f>Ventas!F5</f>
        <v>5509.200000000001</v>
      </c>
      <c r="H2" s="92">
        <f>Ventas!G5</f>
        <v>5550</v>
      </c>
      <c r="I2" s="92">
        <f>Ventas!H5</f>
        <v>6000</v>
      </c>
      <c r="J2" s="92">
        <f>Ventas!I5</f>
        <v>6000</v>
      </c>
      <c r="K2" s="92">
        <f>Ventas!J5</f>
        <v>6000</v>
      </c>
      <c r="L2" s="92">
        <f>Ventas!K5</f>
        <v>6000</v>
      </c>
      <c r="M2" s="92">
        <f>Ventas!L5</f>
        <v>6000</v>
      </c>
      <c r="N2" s="92">
        <f>M2</f>
        <v>6000</v>
      </c>
    </row>
    <row r="3" spans="1:14" ht="12.75">
      <c r="A3" s="21" t="s">
        <v>406</v>
      </c>
      <c r="B3" s="21">
        <f>Ventas!B6</f>
        <v>30</v>
      </c>
      <c r="C3" s="92">
        <v>0</v>
      </c>
      <c r="D3" s="92">
        <f>Ventas!C6</f>
        <v>118871.99999999999</v>
      </c>
      <c r="E3" s="92">
        <f>Ventas!D6</f>
        <v>143676.00000000003</v>
      </c>
      <c r="F3" s="92">
        <f>Ventas!E6</f>
        <v>164052</v>
      </c>
      <c r="G3" s="92">
        <f>Ventas!F6</f>
        <v>165276.00000000003</v>
      </c>
      <c r="H3" s="92">
        <f>Ventas!G6</f>
        <v>166500</v>
      </c>
      <c r="I3" s="92">
        <f>Ventas!H6</f>
        <v>180000</v>
      </c>
      <c r="J3" s="92">
        <f>Ventas!I6</f>
        <v>180000</v>
      </c>
      <c r="K3" s="92">
        <f>Ventas!J6</f>
        <v>180000</v>
      </c>
      <c r="L3" s="92">
        <f>Ventas!K6</f>
        <v>180000</v>
      </c>
      <c r="M3" s="92">
        <f>Ventas!L6</f>
        <v>180000</v>
      </c>
      <c r="N3" s="92">
        <f>M3</f>
        <v>180000</v>
      </c>
    </row>
    <row r="4" spans="1:14" ht="12.75">
      <c r="A4" s="21"/>
      <c r="B4" s="2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2.75">
      <c r="A5" t="s">
        <v>388</v>
      </c>
      <c r="C5" s="92">
        <f>'Activos Fijos'!B30</f>
        <v>146620.747136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2.75">
      <c r="A6" t="s">
        <v>403</v>
      </c>
      <c r="C6" s="92">
        <f>'Activos Fijos'!D36</f>
        <v>5000</v>
      </c>
      <c r="D6" s="92"/>
      <c r="E6" s="92"/>
      <c r="F6" s="92"/>
      <c r="G6" s="92"/>
      <c r="H6" s="92"/>
      <c r="I6" s="92">
        <f>'Activos Fijos'!D37</f>
        <v>2500</v>
      </c>
      <c r="J6" s="92"/>
      <c r="K6" s="92"/>
      <c r="L6" s="92"/>
      <c r="M6" s="92"/>
      <c r="N6" s="92"/>
    </row>
    <row r="7" spans="1:14" ht="12.75">
      <c r="A7" t="s">
        <v>423</v>
      </c>
      <c r="C7" s="92">
        <f>SUM(C12:C13)/12*11</f>
        <v>33117.33944444444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3:14" ht="12.75"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2.75">
      <c r="A9" t="s">
        <v>263</v>
      </c>
      <c r="C9" s="92">
        <f>AdministyVentas!B10*12</f>
        <v>20040</v>
      </c>
      <c r="D9" s="92">
        <f>C9</f>
        <v>20040</v>
      </c>
      <c r="E9" s="92">
        <f aca="true" t="shared" si="1" ref="E9:M9">D9</f>
        <v>20040</v>
      </c>
      <c r="F9" s="92">
        <f t="shared" si="1"/>
        <v>20040</v>
      </c>
      <c r="G9" s="92">
        <f t="shared" si="1"/>
        <v>20040</v>
      </c>
      <c r="H9" s="92">
        <f t="shared" si="1"/>
        <v>20040</v>
      </c>
      <c r="I9" s="92">
        <f t="shared" si="1"/>
        <v>20040</v>
      </c>
      <c r="J9" s="92">
        <f t="shared" si="1"/>
        <v>20040</v>
      </c>
      <c r="K9" s="92">
        <f t="shared" si="1"/>
        <v>20040</v>
      </c>
      <c r="L9" s="92">
        <f t="shared" si="1"/>
        <v>20040</v>
      </c>
      <c r="M9" s="92">
        <f t="shared" si="1"/>
        <v>20040</v>
      </c>
      <c r="N9" s="92">
        <f>M9</f>
        <v>20040</v>
      </c>
    </row>
    <row r="10" spans="1:14" ht="12.75">
      <c r="A10" s="2" t="s">
        <v>421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.75">
      <c r="A11" t="s">
        <v>401</v>
      </c>
      <c r="C11" s="92">
        <f>'CVde producción'!G14</f>
        <v>891.0988833333333</v>
      </c>
      <c r="D11" s="92">
        <f>C11</f>
        <v>891.0988833333333</v>
      </c>
      <c r="E11" s="92">
        <f aca="true" t="shared" si="2" ref="E11:M11">D11</f>
        <v>891.0988833333333</v>
      </c>
      <c r="F11" s="92">
        <f t="shared" si="2"/>
        <v>891.0988833333333</v>
      </c>
      <c r="G11" s="92">
        <f t="shared" si="2"/>
        <v>891.0988833333333</v>
      </c>
      <c r="H11" s="92">
        <f t="shared" si="2"/>
        <v>891.0988833333333</v>
      </c>
      <c r="I11" s="92">
        <f t="shared" si="2"/>
        <v>891.0988833333333</v>
      </c>
      <c r="J11" s="92">
        <f t="shared" si="2"/>
        <v>891.0988833333333</v>
      </c>
      <c r="K11" s="92">
        <f t="shared" si="2"/>
        <v>891.0988833333333</v>
      </c>
      <c r="L11" s="92">
        <f t="shared" si="2"/>
        <v>891.0988833333333</v>
      </c>
      <c r="M11" s="92">
        <f t="shared" si="2"/>
        <v>891.0988833333333</v>
      </c>
      <c r="N11" s="92">
        <f>M11</f>
        <v>891.0988833333333</v>
      </c>
    </row>
    <row r="12" spans="1:15" ht="12.75">
      <c r="A12" t="s">
        <v>400</v>
      </c>
      <c r="C12" s="92">
        <f>'C F de prod. 2'!B18*8</f>
        <v>15723.84</v>
      </c>
      <c r="D12" s="142">
        <f>'C F de prod. 2'!B18*12</f>
        <v>23585.760000000002</v>
      </c>
      <c r="E12" s="92">
        <f>D12</f>
        <v>23585.760000000002</v>
      </c>
      <c r="F12" s="92">
        <f aca="true" t="shared" si="3" ref="F12:M12">E12</f>
        <v>23585.760000000002</v>
      </c>
      <c r="G12" s="92">
        <f t="shared" si="3"/>
        <v>23585.760000000002</v>
      </c>
      <c r="H12" s="92">
        <f t="shared" si="3"/>
        <v>23585.760000000002</v>
      </c>
      <c r="I12" s="92">
        <f t="shared" si="3"/>
        <v>23585.760000000002</v>
      </c>
      <c r="J12" s="92">
        <f t="shared" si="3"/>
        <v>23585.760000000002</v>
      </c>
      <c r="K12" s="92">
        <f t="shared" si="3"/>
        <v>23585.760000000002</v>
      </c>
      <c r="L12" s="92">
        <f t="shared" si="3"/>
        <v>23585.760000000002</v>
      </c>
      <c r="M12" s="92">
        <f t="shared" si="3"/>
        <v>23585.760000000002</v>
      </c>
      <c r="N12" s="92">
        <f>M12</f>
        <v>23585.760000000002</v>
      </c>
      <c r="O12" s="127">
        <f>M12/12</f>
        <v>1965.4800000000002</v>
      </c>
    </row>
    <row r="13" spans="1:15" ht="12.75">
      <c r="A13" t="s">
        <v>404</v>
      </c>
      <c r="B13" s="92"/>
      <c r="C13" s="92">
        <f>'Mano de Obra'!$I$12*8</f>
        <v>20404.166666666668</v>
      </c>
      <c r="D13" s="92">
        <f>'Mano de Obra'!$I$12*12</f>
        <v>30606.25</v>
      </c>
      <c r="E13" s="92">
        <f>'Mano de Obra'!$I$12*12</f>
        <v>30606.25</v>
      </c>
      <c r="F13" s="92">
        <f>'Mano de Obra'!$I$12*12</f>
        <v>30606.25</v>
      </c>
      <c r="G13" s="92">
        <f>'Mano de Obra'!$I$12*12</f>
        <v>30606.25</v>
      </c>
      <c r="H13" s="92">
        <f>'Mano de Obra'!$I$12*12</f>
        <v>30606.25</v>
      </c>
      <c r="I13" s="92">
        <f>'Mano de Obra'!$I$12*12</f>
        <v>30606.25</v>
      </c>
      <c r="J13" s="92">
        <f>'Mano de Obra'!$I$12*12</f>
        <v>30606.25</v>
      </c>
      <c r="K13" s="92">
        <f>'Mano de Obra'!$I$12*12</f>
        <v>30606.25</v>
      </c>
      <c r="L13" s="92">
        <f>'Mano de Obra'!$I$12*12</f>
        <v>30606.25</v>
      </c>
      <c r="M13" s="92">
        <f>'Mano de Obra'!$I$12*12</f>
        <v>30606.25</v>
      </c>
      <c r="N13" s="92">
        <f>M13</f>
        <v>30606.25</v>
      </c>
      <c r="O13" s="127">
        <f>M13/12</f>
        <v>2550.5208333333335</v>
      </c>
    </row>
    <row r="14" spans="1:14" ht="12.75">
      <c r="A14" s="80" t="s">
        <v>414</v>
      </c>
      <c r="B14" s="125">
        <f>'CVde producción'!$C$104</f>
        <v>2.5435776653536717</v>
      </c>
      <c r="C14" s="92">
        <f>(C2*11/12+D2/12)*$B$14</f>
        <v>839.8893450997824</v>
      </c>
      <c r="D14" s="92">
        <f aca="true" t="shared" si="4" ref="D14:M14">(D2*11/12+E2/12)*$B$14</f>
        <v>10253.924642340255</v>
      </c>
      <c r="E14" s="92">
        <f t="shared" si="4"/>
        <v>12325.668650770825</v>
      </c>
      <c r="F14" s="92">
        <f t="shared" si="4"/>
        <v>13917.948269282222</v>
      </c>
      <c r="G14" s="92">
        <f t="shared" si="4"/>
        <v>14021.726238028654</v>
      </c>
      <c r="H14" s="92">
        <f t="shared" si="4"/>
        <v>14212.24020516364</v>
      </c>
      <c r="I14" s="92">
        <f t="shared" si="4"/>
        <v>15261.46599212203</v>
      </c>
      <c r="J14" s="92">
        <f t="shared" si="4"/>
        <v>15261.46599212203</v>
      </c>
      <c r="K14" s="92">
        <f t="shared" si="4"/>
        <v>15261.46599212203</v>
      </c>
      <c r="L14" s="92">
        <f t="shared" si="4"/>
        <v>15261.46599212203</v>
      </c>
      <c r="M14" s="92">
        <f t="shared" si="4"/>
        <v>15261.46599212203</v>
      </c>
      <c r="N14" s="92">
        <f>M14</f>
        <v>15261.46599212203</v>
      </c>
    </row>
    <row r="15" spans="1:14" ht="12.75">
      <c r="A15" s="80" t="s">
        <v>426</v>
      </c>
      <c r="C15" s="136">
        <f>SUM(C11:C14)</f>
        <v>37858.994895099786</v>
      </c>
      <c r="D15" s="136">
        <f aca="true" t="shared" si="5" ref="D15:N15">SUM(D11:D14)</f>
        <v>65337.033525673585</v>
      </c>
      <c r="E15" s="136">
        <f t="shared" si="5"/>
        <v>67408.77753410416</v>
      </c>
      <c r="F15" s="136">
        <f t="shared" si="5"/>
        <v>69001.05715261555</v>
      </c>
      <c r="G15" s="136">
        <f t="shared" si="5"/>
        <v>69104.83512136199</v>
      </c>
      <c r="H15" s="136">
        <f t="shared" si="5"/>
        <v>69295.34908849698</v>
      </c>
      <c r="I15" s="136">
        <f t="shared" si="5"/>
        <v>70344.57487545536</v>
      </c>
      <c r="J15" s="136">
        <f t="shared" si="5"/>
        <v>70344.57487545536</v>
      </c>
      <c r="K15" s="136">
        <f t="shared" si="5"/>
        <v>70344.57487545536</v>
      </c>
      <c r="L15" s="136">
        <f t="shared" si="5"/>
        <v>70344.57487545536</v>
      </c>
      <c r="M15" s="136">
        <f t="shared" si="5"/>
        <v>70344.57487545536</v>
      </c>
      <c r="N15" s="136">
        <f t="shared" si="5"/>
        <v>70344.57487545536</v>
      </c>
    </row>
    <row r="16" spans="3:14" ht="12.75"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2.75">
      <c r="A17" t="s">
        <v>150</v>
      </c>
      <c r="B17" t="s">
        <v>435</v>
      </c>
      <c r="C17" s="92">
        <f>D14/12+SUM('C F de prod. 2'!$B$9:$B$12)</f>
        <v>1234.973720195021</v>
      </c>
      <c r="D17" s="92">
        <f>E14/12+SUM('C F de prod. 2'!$B$9:$B$12)</f>
        <v>1407.619054230902</v>
      </c>
      <c r="E17" s="92">
        <f>F14/12+SUM('C F de prod. 2'!$B$9:$B$12)</f>
        <v>1540.3090224401851</v>
      </c>
      <c r="F17" s="92">
        <f>G14/12+SUM('C F de prod. 2'!$B$9:$B$12)</f>
        <v>1548.957186502388</v>
      </c>
      <c r="G17" s="92">
        <f>H14/12+SUM('C F de prod. 2'!$B$9:$B$12)</f>
        <v>1564.8333504303034</v>
      </c>
      <c r="H17" s="92">
        <f>I14/12+SUM('C F de prod. 2'!$B$9:$B$12)</f>
        <v>1652.268832676836</v>
      </c>
      <c r="I17" s="92">
        <f>J14/12+SUM('C F de prod. 2'!$B$9:$B$12)</f>
        <v>1652.268832676836</v>
      </c>
      <c r="J17" s="92">
        <f>K14/12+SUM('C F de prod. 2'!$B$9:$B$12)</f>
        <v>1652.268832676836</v>
      </c>
      <c r="K17" s="92">
        <f>L14/12+SUM('C F de prod. 2'!$B$9:$B$12)</f>
        <v>1652.268832676836</v>
      </c>
      <c r="L17" s="92">
        <f>M14/12+SUM('C F de prod. 2'!$B$9:$B$12)</f>
        <v>1652.268832676836</v>
      </c>
      <c r="M17" s="92">
        <f>N14/12+SUM('C F de prod. 2'!$B$9:$B$12)</f>
        <v>1652.268832676836</v>
      </c>
      <c r="N17" s="92">
        <f>O14/12+SUM('C F de prod. 2'!$B$9:$B$12)</f>
        <v>380.48</v>
      </c>
    </row>
    <row r="18" spans="1:14" ht="12.75">
      <c r="A18" t="s">
        <v>415</v>
      </c>
      <c r="B18" s="21" t="s">
        <v>436</v>
      </c>
      <c r="C18" s="92">
        <f>C17*1.5</f>
        <v>1852.4605802925316</v>
      </c>
      <c r="D18" s="92">
        <f aca="true" t="shared" si="6" ref="D18:N18">D17*1.5</f>
        <v>2111.428581346353</v>
      </c>
      <c r="E18" s="92">
        <f t="shared" si="6"/>
        <v>2310.463533660278</v>
      </c>
      <c r="F18" s="92">
        <f t="shared" si="6"/>
        <v>2323.4357797535818</v>
      </c>
      <c r="G18" s="92">
        <f t="shared" si="6"/>
        <v>2347.250025645455</v>
      </c>
      <c r="H18" s="92">
        <f t="shared" si="6"/>
        <v>2478.403249015254</v>
      </c>
      <c r="I18" s="92">
        <f t="shared" si="6"/>
        <v>2478.403249015254</v>
      </c>
      <c r="J18" s="92">
        <f t="shared" si="6"/>
        <v>2478.403249015254</v>
      </c>
      <c r="K18" s="92">
        <f t="shared" si="6"/>
        <v>2478.403249015254</v>
      </c>
      <c r="L18" s="92">
        <f t="shared" si="6"/>
        <v>2478.403249015254</v>
      </c>
      <c r="M18" s="92">
        <f t="shared" si="6"/>
        <v>2478.403249015254</v>
      </c>
      <c r="N18" s="92">
        <f t="shared" si="6"/>
        <v>570.72</v>
      </c>
    </row>
    <row r="19" spans="1:14" ht="12.75">
      <c r="A19" t="s">
        <v>416</v>
      </c>
      <c r="C19" s="92">
        <f>'Mano de Obra'!$F$12+SUM('Mano de Obra'!$G$12:$H$12)*6</f>
        <v>1130.3125</v>
      </c>
      <c r="D19" s="92">
        <f>C19</f>
        <v>1130.3125</v>
      </c>
      <c r="E19" s="92">
        <f aca="true" t="shared" si="7" ref="E19:N19">D19</f>
        <v>1130.3125</v>
      </c>
      <c r="F19" s="92">
        <f t="shared" si="7"/>
        <v>1130.3125</v>
      </c>
      <c r="G19" s="92">
        <f t="shared" si="7"/>
        <v>1130.3125</v>
      </c>
      <c r="H19" s="92">
        <f t="shared" si="7"/>
        <v>1130.3125</v>
      </c>
      <c r="I19" s="92">
        <f t="shared" si="7"/>
        <v>1130.3125</v>
      </c>
      <c r="J19" s="92">
        <f t="shared" si="7"/>
        <v>1130.3125</v>
      </c>
      <c r="K19" s="92">
        <f t="shared" si="7"/>
        <v>1130.3125</v>
      </c>
      <c r="L19" s="92">
        <f t="shared" si="7"/>
        <v>1130.3125</v>
      </c>
      <c r="M19" s="92">
        <f t="shared" si="7"/>
        <v>1130.3125</v>
      </c>
      <c r="N19" s="92">
        <f t="shared" si="7"/>
        <v>1130.3125</v>
      </c>
    </row>
    <row r="20" spans="1:14" ht="12.75">
      <c r="A20" t="s">
        <v>433</v>
      </c>
      <c r="C20" s="136">
        <f>+C17-C18-C19</f>
        <v>-1747.7993600975105</v>
      </c>
      <c r="D20" s="136">
        <f>+D17-D18-D19-SUM($B$20:C20)</f>
        <v>-86.32266701794038</v>
      </c>
      <c r="E20" s="136">
        <f>+E17-E18-E19-SUM($B$20:D20)</f>
        <v>-66.34498410464175</v>
      </c>
      <c r="F20" s="136">
        <f>+F17-F18-F19-SUM($B$20:E20)</f>
        <v>-4.32408203110117</v>
      </c>
      <c r="G20" s="136">
        <f>+G17-G18-G19-SUM($B$20:F20)</f>
        <v>-7.938081963957757</v>
      </c>
      <c r="H20" s="136">
        <f>+H17-H18-H19-SUM($B$20:G20)</f>
        <v>-43.71774112326648</v>
      </c>
      <c r="I20" s="136">
        <f>+I17-I18-I19-SUM($B$20:H20)</f>
        <v>0</v>
      </c>
      <c r="J20" s="136">
        <f>+J17-J18-J19-SUM($B$20:I20)</f>
        <v>0</v>
      </c>
      <c r="K20" s="136">
        <f>+K17-K18-K19-SUM($B$20:J20)</f>
        <v>0</v>
      </c>
      <c r="L20" s="136">
        <f>+L17-L18-L19-SUM($B$20:K20)</f>
        <v>0</v>
      </c>
      <c r="M20" s="136">
        <f>+M17-M18-M19-SUM($B$20:L20)</f>
        <v>0</v>
      </c>
      <c r="N20" s="136">
        <f>+N17-N18-N19-SUM($B$20:M20)</f>
        <v>635.8944163384181</v>
      </c>
    </row>
    <row r="21" spans="3:14" ht="12.75"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2.75">
      <c r="A22" t="s">
        <v>419</v>
      </c>
      <c r="B22" s="126">
        <f>50%/12</f>
        <v>0.041666666666666664</v>
      </c>
      <c r="C22" s="92">
        <f>C3*$B$22</f>
        <v>0</v>
      </c>
      <c r="D22" s="92">
        <f aca="true" t="shared" si="8" ref="D22:N22">D3*$B$22</f>
        <v>4952.999999999999</v>
      </c>
      <c r="E22" s="92">
        <f t="shared" si="8"/>
        <v>5986.500000000001</v>
      </c>
      <c r="F22" s="92">
        <f t="shared" si="8"/>
        <v>6835.5</v>
      </c>
      <c r="G22" s="92">
        <f t="shared" si="8"/>
        <v>6886.500000000001</v>
      </c>
      <c r="H22" s="92">
        <f t="shared" si="8"/>
        <v>6937.5</v>
      </c>
      <c r="I22" s="92">
        <f t="shared" si="8"/>
        <v>7500</v>
      </c>
      <c r="J22" s="92">
        <f t="shared" si="8"/>
        <v>7500</v>
      </c>
      <c r="K22" s="92">
        <f t="shared" si="8"/>
        <v>7500</v>
      </c>
      <c r="L22" s="92">
        <f t="shared" si="8"/>
        <v>7500</v>
      </c>
      <c r="M22" s="92">
        <f t="shared" si="8"/>
        <v>7500</v>
      </c>
      <c r="N22" s="92">
        <f t="shared" si="8"/>
        <v>7500</v>
      </c>
    </row>
    <row r="23" spans="1:14" ht="12.75">
      <c r="A23" s="80" t="s">
        <v>430</v>
      </c>
      <c r="C23" s="136">
        <v>0</v>
      </c>
      <c r="D23" s="136">
        <f>C22-D22</f>
        <v>-4952.999999999999</v>
      </c>
      <c r="E23" s="136">
        <f aca="true" t="shared" si="9" ref="E23:N23">D22-E22</f>
        <v>-1033.5000000000018</v>
      </c>
      <c r="F23" s="136">
        <f t="shared" si="9"/>
        <v>-848.9999999999991</v>
      </c>
      <c r="G23" s="136">
        <f t="shared" si="9"/>
        <v>-51.00000000000091</v>
      </c>
      <c r="H23" s="136">
        <f t="shared" si="9"/>
        <v>-50.99999999999909</v>
      </c>
      <c r="I23" s="136">
        <f t="shared" si="9"/>
        <v>-562.5</v>
      </c>
      <c r="J23" s="136">
        <f t="shared" si="9"/>
        <v>0</v>
      </c>
      <c r="K23" s="136">
        <f t="shared" si="9"/>
        <v>0</v>
      </c>
      <c r="L23" s="136">
        <f t="shared" si="9"/>
        <v>0</v>
      </c>
      <c r="M23" s="136">
        <f t="shared" si="9"/>
        <v>0</v>
      </c>
      <c r="N23" s="136">
        <f t="shared" si="9"/>
        <v>0</v>
      </c>
    </row>
    <row r="24" spans="3:14" ht="12.75"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ht="12.75">
      <c r="A25" t="s">
        <v>417</v>
      </c>
      <c r="C25" s="92">
        <v>0</v>
      </c>
      <c r="D25" s="92">
        <f>C6/5</f>
        <v>1000</v>
      </c>
      <c r="E25" s="92">
        <f>D25</f>
        <v>1000</v>
      </c>
      <c r="F25" s="92">
        <f>E25</f>
        <v>1000</v>
      </c>
      <c r="G25" s="92">
        <f>F25</f>
        <v>1000</v>
      </c>
      <c r="H25" s="92">
        <f>G25</f>
        <v>1000</v>
      </c>
      <c r="I25" s="92">
        <v>0</v>
      </c>
      <c r="J25" s="92">
        <f>I6/5</f>
        <v>500</v>
      </c>
      <c r="K25" s="92">
        <f>J25</f>
        <v>500</v>
      </c>
      <c r="L25" s="92">
        <f>K25</f>
        <v>500</v>
      </c>
      <c r="M25" s="92">
        <f>L25</f>
        <v>500</v>
      </c>
      <c r="N25" s="92">
        <f>M25</f>
        <v>500</v>
      </c>
    </row>
    <row r="26" spans="1:14" ht="12.75">
      <c r="A26" t="s">
        <v>372</v>
      </c>
      <c r="C26" s="92">
        <f>'Activos Fijos'!D30/2</f>
        <v>7966.0373567999995</v>
      </c>
      <c r="D26" s="92">
        <f>'Activos Fijos'!$D$30</f>
        <v>15932.074713599999</v>
      </c>
      <c r="E26" s="92">
        <f>'Activos Fijos'!$D$30</f>
        <v>15932.074713599999</v>
      </c>
      <c r="F26" s="92">
        <f>'Activos Fijos'!$D$30</f>
        <v>15932.074713599999</v>
      </c>
      <c r="G26" s="92">
        <f>'Activos Fijos'!$D$30</f>
        <v>15932.074713599999</v>
      </c>
      <c r="H26" s="92">
        <f>'Activos Fijos'!D30/2+'Activos Fijos'!D32/2</f>
        <v>14162.074713599999</v>
      </c>
      <c r="I26" s="92">
        <f>'Activos Fijos'!$D$32</f>
        <v>12392.074713599999</v>
      </c>
      <c r="J26" s="92">
        <f>'Activos Fijos'!$D$32</f>
        <v>12392.074713599999</v>
      </c>
      <c r="K26" s="92">
        <f>'Activos Fijos'!$D$32</f>
        <v>12392.074713599999</v>
      </c>
      <c r="L26" s="92">
        <f>'Activos Fijos'!$D$32</f>
        <v>12392.074713599999</v>
      </c>
      <c r="M26" s="92">
        <f>'Activos Fijos'!D32/2</f>
        <v>6196.0373567999995</v>
      </c>
      <c r="N26" s="92"/>
    </row>
    <row r="27" spans="1:14" ht="12.75">
      <c r="A27" t="s">
        <v>422</v>
      </c>
      <c r="B27" s="92"/>
      <c r="C27" s="92">
        <v>0</v>
      </c>
      <c r="D27" s="92">
        <f>C7/5</f>
        <v>6623.467888888888</v>
      </c>
      <c r="E27" s="92">
        <f>D27</f>
        <v>6623.467888888888</v>
      </c>
      <c r="F27" s="92">
        <f>E27</f>
        <v>6623.467888888888</v>
      </c>
      <c r="G27" s="92">
        <f>F27</f>
        <v>6623.467888888888</v>
      </c>
      <c r="H27" s="92">
        <f>G27</f>
        <v>6623.467888888888</v>
      </c>
      <c r="I27" s="92"/>
      <c r="J27" s="92"/>
      <c r="K27" s="92"/>
      <c r="L27" s="92"/>
      <c r="M27" s="92"/>
      <c r="N27" s="92"/>
    </row>
    <row r="28" spans="1:14" ht="12.75">
      <c r="A28" s="80" t="s">
        <v>427</v>
      </c>
      <c r="C28" s="136">
        <f>SUM(C25:C27)</f>
        <v>7966.0373567999995</v>
      </c>
      <c r="D28" s="136">
        <f aca="true" t="shared" si="10" ref="D28:N28">SUM(D25:D27)</f>
        <v>23555.542602488887</v>
      </c>
      <c r="E28" s="136">
        <f t="shared" si="10"/>
        <v>23555.542602488887</v>
      </c>
      <c r="F28" s="136">
        <f t="shared" si="10"/>
        <v>23555.542602488887</v>
      </c>
      <c r="G28" s="136">
        <f t="shared" si="10"/>
        <v>23555.542602488887</v>
      </c>
      <c r="H28" s="136">
        <f t="shared" si="10"/>
        <v>21785.542602488887</v>
      </c>
      <c r="I28" s="136">
        <f t="shared" si="10"/>
        <v>12392.074713599999</v>
      </c>
      <c r="J28" s="136">
        <f t="shared" si="10"/>
        <v>12892.074713599999</v>
      </c>
      <c r="K28" s="136">
        <f t="shared" si="10"/>
        <v>12892.074713599999</v>
      </c>
      <c r="L28" s="136">
        <f t="shared" si="10"/>
        <v>12892.074713599999</v>
      </c>
      <c r="M28" s="136">
        <f t="shared" si="10"/>
        <v>6696.0373567999995</v>
      </c>
      <c r="N28" s="136">
        <f t="shared" si="10"/>
        <v>500</v>
      </c>
    </row>
    <row r="29" spans="3:14" ht="12.75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ht="12.75">
      <c r="A30" s="46" t="s">
        <v>420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14" ht="12.75">
      <c r="A31" t="s">
        <v>401</v>
      </c>
      <c r="C31" s="92">
        <v>0</v>
      </c>
      <c r="D31" s="92">
        <f>C11</f>
        <v>891.0988833333333</v>
      </c>
      <c r="E31" s="92">
        <f aca="true" t="shared" si="11" ref="E31:N31">D11</f>
        <v>891.0988833333333</v>
      </c>
      <c r="F31" s="92">
        <f t="shared" si="11"/>
        <v>891.0988833333333</v>
      </c>
      <c r="G31" s="92">
        <f t="shared" si="11"/>
        <v>891.0988833333333</v>
      </c>
      <c r="H31" s="92">
        <f t="shared" si="11"/>
        <v>891.0988833333333</v>
      </c>
      <c r="I31" s="92">
        <f t="shared" si="11"/>
        <v>891.0988833333333</v>
      </c>
      <c r="J31" s="92">
        <f t="shared" si="11"/>
        <v>891.0988833333333</v>
      </c>
      <c r="K31" s="92">
        <f t="shared" si="11"/>
        <v>891.0988833333333</v>
      </c>
      <c r="L31" s="92">
        <f t="shared" si="11"/>
        <v>891.0988833333333</v>
      </c>
      <c r="M31" s="92">
        <f t="shared" si="11"/>
        <v>891.0988833333333</v>
      </c>
      <c r="N31" s="92">
        <f t="shared" si="11"/>
        <v>891.0988833333333</v>
      </c>
    </row>
    <row r="32" spans="1:15" ht="12.75">
      <c r="A32" t="s">
        <v>400</v>
      </c>
      <c r="C32" s="92">
        <v>0</v>
      </c>
      <c r="D32" s="92">
        <f>C12/12+D12*11/12</f>
        <v>22930.600000000002</v>
      </c>
      <c r="E32" s="92">
        <f aca="true" t="shared" si="12" ref="E32:N32">D12/12+E12*11/12</f>
        <v>23585.760000000002</v>
      </c>
      <c r="F32" s="92">
        <f t="shared" si="12"/>
        <v>23585.760000000002</v>
      </c>
      <c r="G32" s="92">
        <f t="shared" si="12"/>
        <v>23585.760000000002</v>
      </c>
      <c r="H32" s="92">
        <f t="shared" si="12"/>
        <v>23585.760000000002</v>
      </c>
      <c r="I32" s="92">
        <f t="shared" si="12"/>
        <v>23585.760000000002</v>
      </c>
      <c r="J32" s="92">
        <f t="shared" si="12"/>
        <v>23585.760000000002</v>
      </c>
      <c r="K32" s="92">
        <f t="shared" si="12"/>
        <v>23585.760000000002</v>
      </c>
      <c r="L32" s="92">
        <f t="shared" si="12"/>
        <v>23585.760000000002</v>
      </c>
      <c r="M32" s="92">
        <f t="shared" si="12"/>
        <v>23585.760000000002</v>
      </c>
      <c r="N32" s="92">
        <f t="shared" si="12"/>
        <v>23585.760000000002</v>
      </c>
      <c r="O32" s="92"/>
    </row>
    <row r="33" spans="1:14" ht="12.75">
      <c r="A33" t="s">
        <v>404</v>
      </c>
      <c r="C33" s="92">
        <v>0</v>
      </c>
      <c r="D33" s="92">
        <f>C13/12+D13*11/12</f>
        <v>29756.07638888889</v>
      </c>
      <c r="E33" s="92">
        <f aca="true" t="shared" si="13" ref="E33:N34">D13/12+E13*11/12</f>
        <v>30606.25</v>
      </c>
      <c r="F33" s="92">
        <f t="shared" si="13"/>
        <v>30606.25</v>
      </c>
      <c r="G33" s="92">
        <f t="shared" si="13"/>
        <v>30606.25</v>
      </c>
      <c r="H33" s="92">
        <f t="shared" si="13"/>
        <v>30606.25</v>
      </c>
      <c r="I33" s="92">
        <f t="shared" si="13"/>
        <v>30606.25</v>
      </c>
      <c r="J33" s="92">
        <f t="shared" si="13"/>
        <v>30606.25</v>
      </c>
      <c r="K33" s="92">
        <f t="shared" si="13"/>
        <v>30606.25</v>
      </c>
      <c r="L33" s="92">
        <f t="shared" si="13"/>
        <v>30606.25</v>
      </c>
      <c r="M33" s="92">
        <f t="shared" si="13"/>
        <v>30606.25</v>
      </c>
      <c r="N33" s="92">
        <f t="shared" si="13"/>
        <v>30606.25</v>
      </c>
    </row>
    <row r="34" spans="1:14" ht="12.75">
      <c r="A34" s="80" t="s">
        <v>414</v>
      </c>
      <c r="C34" s="92">
        <v>0</v>
      </c>
      <c r="D34" s="92">
        <f>C14+D14/12*11</f>
        <v>10239.320267245015</v>
      </c>
      <c r="E34" s="92">
        <f t="shared" si="13"/>
        <v>12153.023316734943</v>
      </c>
      <c r="F34" s="92">
        <f t="shared" si="13"/>
        <v>13785.258301072938</v>
      </c>
      <c r="G34" s="92">
        <f t="shared" si="13"/>
        <v>14013.078073966451</v>
      </c>
      <c r="H34" s="92">
        <f t="shared" si="13"/>
        <v>14196.364041235724</v>
      </c>
      <c r="I34" s="92">
        <f t="shared" si="13"/>
        <v>15174.030509875498</v>
      </c>
      <c r="J34" s="92">
        <f t="shared" si="13"/>
        <v>15261.46599212203</v>
      </c>
      <c r="K34" s="92">
        <f t="shared" si="13"/>
        <v>15261.46599212203</v>
      </c>
      <c r="L34" s="92">
        <f t="shared" si="13"/>
        <v>15261.46599212203</v>
      </c>
      <c r="M34" s="92">
        <f t="shared" si="13"/>
        <v>15261.46599212203</v>
      </c>
      <c r="N34" s="92">
        <f t="shared" si="13"/>
        <v>15261.46599212203</v>
      </c>
    </row>
    <row r="35" spans="1:14" ht="12.75">
      <c r="A35" t="s">
        <v>425</v>
      </c>
      <c r="C35" s="136">
        <f>SUM(C31:C34)</f>
        <v>0</v>
      </c>
      <c r="D35" s="136">
        <f>SUM(D31:D34)</f>
        <v>63817.095539467235</v>
      </c>
      <c r="E35" s="136">
        <f aca="true" t="shared" si="14" ref="E35:N35">SUM(E31:E34)</f>
        <v>67236.13220006827</v>
      </c>
      <c r="F35" s="136">
        <f t="shared" si="14"/>
        <v>68868.36718440628</v>
      </c>
      <c r="G35" s="136">
        <f t="shared" si="14"/>
        <v>69096.18695729978</v>
      </c>
      <c r="H35" s="136">
        <f t="shared" si="14"/>
        <v>69279.47292456905</v>
      </c>
      <c r="I35" s="136">
        <f t="shared" si="14"/>
        <v>70257.13939320884</v>
      </c>
      <c r="J35" s="136">
        <f t="shared" si="14"/>
        <v>70344.57487545536</v>
      </c>
      <c r="K35" s="136">
        <f t="shared" si="14"/>
        <v>70344.57487545536</v>
      </c>
      <c r="L35" s="136">
        <f t="shared" si="14"/>
        <v>70344.57487545536</v>
      </c>
      <c r="M35" s="136">
        <f t="shared" si="14"/>
        <v>70344.57487545536</v>
      </c>
      <c r="N35" s="136">
        <f t="shared" si="14"/>
        <v>70344.57487545536</v>
      </c>
    </row>
    <row r="37" spans="1:14" ht="12.75">
      <c r="A37" t="s">
        <v>386</v>
      </c>
      <c r="B37">
        <v>0</v>
      </c>
      <c r="C37" s="92">
        <f>B37+C15-C35-C7</f>
        <v>4741.655450655344</v>
      </c>
      <c r="D37" s="92">
        <f aca="true" t="shared" si="15" ref="D37:N37">C37+D15-D35-D7</f>
        <v>6261.593436861702</v>
      </c>
      <c r="E37" s="92">
        <f t="shared" si="15"/>
        <v>6434.2387708975875</v>
      </c>
      <c r="F37" s="92">
        <f t="shared" si="15"/>
        <v>6566.928739106865</v>
      </c>
      <c r="G37" s="92">
        <f t="shared" si="15"/>
        <v>6575.5769031690725</v>
      </c>
      <c r="H37" s="92">
        <f t="shared" si="15"/>
        <v>6591.453067096998</v>
      </c>
      <c r="I37" s="92">
        <f t="shared" si="15"/>
        <v>6678.888549343523</v>
      </c>
      <c r="J37" s="92">
        <f t="shared" si="15"/>
        <v>6678.888549343523</v>
      </c>
      <c r="K37" s="92">
        <f t="shared" si="15"/>
        <v>6678.888549343523</v>
      </c>
      <c r="L37" s="92">
        <f t="shared" si="15"/>
        <v>6678.888549343523</v>
      </c>
      <c r="M37" s="92">
        <f t="shared" si="15"/>
        <v>6678.888549343523</v>
      </c>
      <c r="N37" s="92">
        <f t="shared" si="15"/>
        <v>6678.888549343523</v>
      </c>
    </row>
    <row r="40" spans="1:14" ht="12.75">
      <c r="A40" s="80" t="s">
        <v>431</v>
      </c>
      <c r="C40" s="92">
        <f>C3+C23</f>
        <v>0</v>
      </c>
      <c r="D40" s="92">
        <f aca="true" t="shared" si="16" ref="D40:N40">D3+D23</f>
        <v>113918.99999999999</v>
      </c>
      <c r="E40" s="92">
        <f t="shared" si="16"/>
        <v>142642.50000000003</v>
      </c>
      <c r="F40" s="92">
        <f t="shared" si="16"/>
        <v>163203</v>
      </c>
      <c r="G40" s="92">
        <f t="shared" si="16"/>
        <v>165225.00000000003</v>
      </c>
      <c r="H40" s="92">
        <f t="shared" si="16"/>
        <v>166449</v>
      </c>
      <c r="I40" s="92">
        <f t="shared" si="16"/>
        <v>179437.5</v>
      </c>
      <c r="J40" s="92">
        <f t="shared" si="16"/>
        <v>180000</v>
      </c>
      <c r="K40" s="92">
        <f t="shared" si="16"/>
        <v>180000</v>
      </c>
      <c r="L40" s="92">
        <f t="shared" si="16"/>
        <v>180000</v>
      </c>
      <c r="M40" s="92">
        <f t="shared" si="16"/>
        <v>180000</v>
      </c>
      <c r="N40" s="92">
        <f t="shared" si="16"/>
        <v>180000</v>
      </c>
    </row>
    <row r="42" spans="1:14" ht="12.75">
      <c r="A42" t="s">
        <v>432</v>
      </c>
      <c r="C42" s="92">
        <f>C15+C20+C44</f>
        <v>36281.195535002276</v>
      </c>
      <c r="D42" s="92">
        <f>D15+D20</f>
        <v>65250.71085865564</v>
      </c>
      <c r="E42" s="92">
        <f aca="true" t="shared" si="17" ref="E42:N42">E15+E20</f>
        <v>67342.43254999952</v>
      </c>
      <c r="F42" s="92">
        <f t="shared" si="17"/>
        <v>68996.73307058445</v>
      </c>
      <c r="G42" s="92">
        <f t="shared" si="17"/>
        <v>69096.89703939803</v>
      </c>
      <c r="H42" s="92">
        <f t="shared" si="17"/>
        <v>69251.63134737371</v>
      </c>
      <c r="I42" s="92">
        <f t="shared" si="17"/>
        <v>70344.57487545536</v>
      </c>
      <c r="J42" s="92">
        <f t="shared" si="17"/>
        <v>70344.57487545536</v>
      </c>
      <c r="K42" s="92">
        <f t="shared" si="17"/>
        <v>70344.57487545536</v>
      </c>
      <c r="L42" s="92">
        <f t="shared" si="17"/>
        <v>70344.57487545536</v>
      </c>
      <c r="M42" s="92">
        <f t="shared" si="17"/>
        <v>70344.57487545536</v>
      </c>
      <c r="N42" s="92">
        <f t="shared" si="17"/>
        <v>70980.46929179378</v>
      </c>
    </row>
    <row r="44" spans="1:14" ht="12.75">
      <c r="A44" t="s">
        <v>434</v>
      </c>
      <c r="C44" s="18">
        <f>AdministyVentas!B5+'C F de prod. 2'!B4</f>
        <v>170</v>
      </c>
      <c r="D44" s="18">
        <f>C44</f>
        <v>170</v>
      </c>
      <c r="E44" s="18">
        <f aca="true" t="shared" si="18" ref="E44:N44">D44</f>
        <v>170</v>
      </c>
      <c r="F44" s="18">
        <f t="shared" si="18"/>
        <v>170</v>
      </c>
      <c r="G44" s="18">
        <f t="shared" si="18"/>
        <v>170</v>
      </c>
      <c r="H44" s="18">
        <f t="shared" si="18"/>
        <v>170</v>
      </c>
      <c r="I44" s="18">
        <f t="shared" si="18"/>
        <v>170</v>
      </c>
      <c r="J44" s="18">
        <f t="shared" si="18"/>
        <v>170</v>
      </c>
      <c r="K44" s="18">
        <f t="shared" si="18"/>
        <v>170</v>
      </c>
      <c r="L44" s="18">
        <f t="shared" si="18"/>
        <v>170</v>
      </c>
      <c r="M44" s="18">
        <f t="shared" si="18"/>
        <v>170</v>
      </c>
      <c r="N44" s="18">
        <f t="shared" si="18"/>
        <v>170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4"/>
  <sheetViews>
    <sheetView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38.140625" style="0" bestFit="1" customWidth="1"/>
    <col min="3" max="3" width="5.00390625" style="0" customWidth="1"/>
    <col min="4" max="4" width="9.421875" style="0" customWidth="1"/>
    <col min="5" max="14" width="10.8515625" style="0" bestFit="1" customWidth="1"/>
    <col min="15" max="15" width="12.00390625" style="0" bestFit="1" customWidth="1"/>
    <col min="16" max="16384" width="9.140625" style="0" customWidth="1"/>
  </cols>
  <sheetData>
    <row r="1" ht="15">
      <c r="A1" s="78" t="s">
        <v>399</v>
      </c>
    </row>
    <row r="2" ht="15">
      <c r="A2" s="79" t="s">
        <v>367</v>
      </c>
    </row>
    <row r="3" spans="1:15" ht="16.5">
      <c r="A3" s="79" t="s">
        <v>368</v>
      </c>
      <c r="O3" s="89"/>
    </row>
    <row r="4" ht="15">
      <c r="A4" s="131"/>
    </row>
    <row r="6" spans="1:16" ht="12.75">
      <c r="A6" s="44"/>
      <c r="D6" s="74">
        <v>0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132" t="s">
        <v>92</v>
      </c>
      <c r="P6" s="90" t="s">
        <v>369</v>
      </c>
    </row>
    <row r="7" spans="15:16" ht="12.75">
      <c r="O7" s="91"/>
      <c r="P7" s="91"/>
    </row>
    <row r="8" spans="1:16" ht="12.75">
      <c r="A8" s="46" t="s">
        <v>274</v>
      </c>
      <c r="O8" s="91"/>
      <c r="P8" s="91"/>
    </row>
    <row r="9" spans="2:16" ht="12.75">
      <c r="B9" t="s">
        <v>380</v>
      </c>
      <c r="D9" s="92">
        <f>Data!C3</f>
        <v>0</v>
      </c>
      <c r="E9" s="92">
        <f>Data!D3</f>
        <v>118871.99999999999</v>
      </c>
      <c r="F9" s="92">
        <f>Data!E3</f>
        <v>143676.00000000003</v>
      </c>
      <c r="G9" s="92">
        <f>Data!F3</f>
        <v>164052</v>
      </c>
      <c r="H9" s="92">
        <f>Data!G3</f>
        <v>165276.00000000003</v>
      </c>
      <c r="I9" s="92">
        <f>Data!H3</f>
        <v>166500</v>
      </c>
      <c r="J9" s="92">
        <f>Data!I3</f>
        <v>180000</v>
      </c>
      <c r="K9" s="92">
        <f>Data!J3</f>
        <v>180000</v>
      </c>
      <c r="L9" s="92">
        <f>Data!K3</f>
        <v>180000</v>
      </c>
      <c r="M9" s="92">
        <f>Data!L3</f>
        <v>180000</v>
      </c>
      <c r="N9" s="92">
        <f>Data!M3</f>
        <v>180000</v>
      </c>
      <c r="O9" s="93">
        <f>SUM(D9:N9)</f>
        <v>1658376</v>
      </c>
      <c r="P9" s="149">
        <f>O9/$O$9</f>
        <v>1</v>
      </c>
    </row>
    <row r="10" spans="4:16" ht="12.75"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P10" s="150"/>
    </row>
    <row r="11" spans="1:16" ht="12.75">
      <c r="A11" s="46" t="s">
        <v>370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  <c r="P11" s="150"/>
    </row>
    <row r="12" spans="2:16" ht="12.75">
      <c r="B12" s="80" t="s">
        <v>429</v>
      </c>
      <c r="D12" s="92">
        <f>Data!C31</f>
        <v>0</v>
      </c>
      <c r="E12" s="92">
        <f>Data!D31</f>
        <v>891.0988833333333</v>
      </c>
      <c r="F12" s="92">
        <f>Data!E31</f>
        <v>891.0988833333333</v>
      </c>
      <c r="G12" s="92">
        <f>Data!F31</f>
        <v>891.0988833333333</v>
      </c>
      <c r="H12" s="92">
        <f>Data!G31</f>
        <v>891.0988833333333</v>
      </c>
      <c r="I12" s="92">
        <f>Data!H31</f>
        <v>891.0988833333333</v>
      </c>
      <c r="J12" s="92">
        <f>Data!I31</f>
        <v>891.0988833333333</v>
      </c>
      <c r="K12" s="92">
        <f>Data!J31</f>
        <v>891.0988833333333</v>
      </c>
      <c r="L12" s="92">
        <f>Data!K31</f>
        <v>891.0988833333333</v>
      </c>
      <c r="M12" s="92">
        <f>Data!L31</f>
        <v>891.0988833333333</v>
      </c>
      <c r="N12" s="92">
        <f>Data!M31</f>
        <v>891.0988833333333</v>
      </c>
      <c r="O12" s="93">
        <f>SUM(D12:N12)</f>
        <v>8910.988833333333</v>
      </c>
      <c r="P12" s="149">
        <f>O12/$O$9</f>
        <v>0.005373322354721326</v>
      </c>
    </row>
    <row r="13" spans="2:16" ht="12.75">
      <c r="B13" t="s">
        <v>400</v>
      </c>
      <c r="D13" s="92">
        <f>Data!C32</f>
        <v>0</v>
      </c>
      <c r="E13" s="92">
        <f>Data!D32</f>
        <v>22930.600000000002</v>
      </c>
      <c r="F13" s="92">
        <f>Data!E32</f>
        <v>23585.760000000002</v>
      </c>
      <c r="G13" s="92">
        <f>Data!F32</f>
        <v>23585.760000000002</v>
      </c>
      <c r="H13" s="92">
        <f>Data!G32</f>
        <v>23585.760000000002</v>
      </c>
      <c r="I13" s="92">
        <f>Data!H32</f>
        <v>23585.760000000002</v>
      </c>
      <c r="J13" s="92">
        <f>Data!I32</f>
        <v>23585.760000000002</v>
      </c>
      <c r="K13" s="92">
        <f>Data!J32</f>
        <v>23585.760000000002</v>
      </c>
      <c r="L13" s="92">
        <f>Data!K32</f>
        <v>23585.760000000002</v>
      </c>
      <c r="M13" s="92">
        <f>Data!L32</f>
        <v>23585.760000000002</v>
      </c>
      <c r="N13" s="92">
        <f>Data!M32</f>
        <v>23585.760000000002</v>
      </c>
      <c r="O13" s="93">
        <f>SUM(D13:N13)</f>
        <v>235202.44000000006</v>
      </c>
      <c r="P13" s="149">
        <f>O13/$O$9</f>
        <v>0.14182696806996728</v>
      </c>
    </row>
    <row r="14" spans="2:16" ht="12.75">
      <c r="B14" t="s">
        <v>371</v>
      </c>
      <c r="D14" s="92">
        <f>Data!C33</f>
        <v>0</v>
      </c>
      <c r="E14" s="92">
        <f>Data!D33</f>
        <v>29756.07638888889</v>
      </c>
      <c r="F14" s="92">
        <f>Data!E33</f>
        <v>30606.25</v>
      </c>
      <c r="G14" s="92">
        <f>Data!F33</f>
        <v>30606.25</v>
      </c>
      <c r="H14" s="92">
        <f>Data!G33</f>
        <v>30606.25</v>
      </c>
      <c r="I14" s="92">
        <f>Data!H33</f>
        <v>30606.25</v>
      </c>
      <c r="J14" s="92">
        <f>Data!I33</f>
        <v>30606.25</v>
      </c>
      <c r="K14" s="92">
        <f>Data!J33</f>
        <v>30606.25</v>
      </c>
      <c r="L14" s="92">
        <f>Data!K33</f>
        <v>30606.25</v>
      </c>
      <c r="M14" s="92">
        <f>Data!L33</f>
        <v>30606.25</v>
      </c>
      <c r="N14" s="92">
        <f>Data!M33</f>
        <v>30606.25</v>
      </c>
      <c r="O14" s="93">
        <f>SUM(D14:N14)</f>
        <v>305212.3263888889</v>
      </c>
      <c r="P14" s="149">
        <f>O14/$O$9</f>
        <v>0.18404289882926964</v>
      </c>
    </row>
    <row r="15" spans="2:16" ht="12.75">
      <c r="B15" s="80" t="s">
        <v>414</v>
      </c>
      <c r="D15" s="92">
        <f>Data!C34</f>
        <v>0</v>
      </c>
      <c r="E15" s="92">
        <f>Data!D34</f>
        <v>10239.320267245015</v>
      </c>
      <c r="F15" s="92">
        <f>Data!E34</f>
        <v>12153.023316734943</v>
      </c>
      <c r="G15" s="92">
        <f>Data!F34</f>
        <v>13785.258301072938</v>
      </c>
      <c r="H15" s="92">
        <f>Data!G34</f>
        <v>14013.078073966451</v>
      </c>
      <c r="I15" s="92">
        <f>Data!H34</f>
        <v>14196.364041235724</v>
      </c>
      <c r="J15" s="92">
        <f>Data!I34</f>
        <v>15174.030509875498</v>
      </c>
      <c r="K15" s="92">
        <f>Data!J34</f>
        <v>15261.46599212203</v>
      </c>
      <c r="L15" s="92">
        <f>Data!K34</f>
        <v>15261.46599212203</v>
      </c>
      <c r="M15" s="92">
        <f>Data!L34</f>
        <v>15261.46599212203</v>
      </c>
      <c r="N15" s="92">
        <f>Data!M34</f>
        <v>15261.46599212203</v>
      </c>
      <c r="O15" s="93">
        <f>SUM(D15:N15)</f>
        <v>140606.9384786187</v>
      </c>
      <c r="P15" s="149">
        <f>O15/$O$9</f>
        <v>0.08478592217845572</v>
      </c>
    </row>
    <row r="16" spans="2:16" ht="12.75">
      <c r="B16" s="80" t="s">
        <v>428</v>
      </c>
      <c r="D16" s="92">
        <f>Data!C28</f>
        <v>7966.0373567999995</v>
      </c>
      <c r="E16" s="92">
        <f>Data!D28</f>
        <v>23555.542602488887</v>
      </c>
      <c r="F16" s="92">
        <f>Data!E28</f>
        <v>23555.542602488887</v>
      </c>
      <c r="G16" s="92">
        <f>Data!F28</f>
        <v>23555.542602488887</v>
      </c>
      <c r="H16" s="92">
        <f>Data!G28</f>
        <v>23555.542602488887</v>
      </c>
      <c r="I16" s="92">
        <f>Data!H28</f>
        <v>21785.542602488887</v>
      </c>
      <c r="J16" s="92">
        <f>Data!I28</f>
        <v>12392.074713599999</v>
      </c>
      <c r="K16" s="92">
        <f>Data!J28</f>
        <v>12892.074713599999</v>
      </c>
      <c r="L16" s="92">
        <f>Data!K28</f>
        <v>12892.074713599999</v>
      </c>
      <c r="M16" s="92">
        <f>Data!L28</f>
        <v>12892.074713599999</v>
      </c>
      <c r="N16" s="92">
        <f>Data!M28</f>
        <v>6696.0373567999995</v>
      </c>
      <c r="O16" s="93">
        <f>SUM(D16:N16)</f>
        <v>181738.08658044436</v>
      </c>
      <c r="P16" s="149">
        <f>O16/$O$9</f>
        <v>0.10958798642795382</v>
      </c>
    </row>
    <row r="17" spans="2:16" ht="12.75">
      <c r="B17" s="109" t="s">
        <v>92</v>
      </c>
      <c r="D17" s="136">
        <f aca="true" t="shared" si="0" ref="D17:P17">SUM(D12:D16)</f>
        <v>7966.0373567999995</v>
      </c>
      <c r="E17" s="136">
        <f t="shared" si="0"/>
        <v>87372.63814195612</v>
      </c>
      <c r="F17" s="136">
        <f t="shared" si="0"/>
        <v>90791.67480255716</v>
      </c>
      <c r="G17" s="136">
        <f t="shared" si="0"/>
        <v>92423.90978689516</v>
      </c>
      <c r="H17" s="136">
        <f t="shared" si="0"/>
        <v>92651.72955978867</v>
      </c>
      <c r="I17" s="136">
        <f t="shared" si="0"/>
        <v>91065.01552705794</v>
      </c>
      <c r="J17" s="136">
        <f t="shared" si="0"/>
        <v>82649.21410680884</v>
      </c>
      <c r="K17" s="136">
        <f t="shared" si="0"/>
        <v>83236.64958905536</v>
      </c>
      <c r="L17" s="136">
        <f t="shared" si="0"/>
        <v>83236.64958905536</v>
      </c>
      <c r="M17" s="136">
        <f t="shared" si="0"/>
        <v>83236.64958905536</v>
      </c>
      <c r="N17" s="136">
        <f t="shared" si="0"/>
        <v>77040.61223225537</v>
      </c>
      <c r="O17" s="148">
        <f t="shared" si="0"/>
        <v>871670.7802812853</v>
      </c>
      <c r="P17" s="151">
        <f t="shared" si="0"/>
        <v>0.5256170978603678</v>
      </c>
    </row>
    <row r="18" spans="4:16" ht="12.75"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152"/>
    </row>
    <row r="19" spans="1:16" ht="13.5" thickBot="1">
      <c r="A19" s="2" t="s">
        <v>373</v>
      </c>
      <c r="D19" s="94">
        <f aca="true" t="shared" si="1" ref="D19:P19">D9-D17</f>
        <v>-7966.0373567999995</v>
      </c>
      <c r="E19" s="94">
        <f t="shared" si="1"/>
        <v>31499.361858043863</v>
      </c>
      <c r="F19" s="94">
        <f t="shared" si="1"/>
        <v>52884.32519744287</v>
      </c>
      <c r="G19" s="94">
        <f t="shared" si="1"/>
        <v>71628.09021310484</v>
      </c>
      <c r="H19" s="94">
        <f t="shared" si="1"/>
        <v>72624.27044021136</v>
      </c>
      <c r="I19" s="94">
        <f t="shared" si="1"/>
        <v>75434.98447294206</v>
      </c>
      <c r="J19" s="94">
        <f t="shared" si="1"/>
        <v>97350.78589319116</v>
      </c>
      <c r="K19" s="94">
        <f t="shared" si="1"/>
        <v>96763.35041094464</v>
      </c>
      <c r="L19" s="94">
        <f t="shared" si="1"/>
        <v>96763.35041094464</v>
      </c>
      <c r="M19" s="94">
        <f t="shared" si="1"/>
        <v>96763.35041094464</v>
      </c>
      <c r="N19" s="94">
        <f t="shared" si="1"/>
        <v>102959.38776774463</v>
      </c>
      <c r="O19" s="95">
        <f t="shared" si="1"/>
        <v>786705.2197187147</v>
      </c>
      <c r="P19" s="153">
        <f t="shared" si="1"/>
        <v>0.4743829021396322</v>
      </c>
    </row>
    <row r="20" spans="4:16" ht="13.5" thickTop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  <c r="P20" s="150"/>
    </row>
    <row r="21" spans="4:16" ht="12.75"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  <c r="P21" s="150"/>
    </row>
    <row r="22" spans="1:16" ht="12.75">
      <c r="A22" t="s">
        <v>263</v>
      </c>
      <c r="D22" s="92">
        <f>Data!C9</f>
        <v>20040</v>
      </c>
      <c r="E22" s="92">
        <f>Data!D9</f>
        <v>20040</v>
      </c>
      <c r="F22" s="92">
        <f>Data!E9</f>
        <v>20040</v>
      </c>
      <c r="G22" s="92">
        <f>Data!F9</f>
        <v>20040</v>
      </c>
      <c r="H22" s="92">
        <f>Data!G9</f>
        <v>20040</v>
      </c>
      <c r="I22" s="92">
        <f>Data!H9</f>
        <v>20040</v>
      </c>
      <c r="J22" s="92">
        <f>Data!I9</f>
        <v>20040</v>
      </c>
      <c r="K22" s="92">
        <f>Data!J9</f>
        <v>20040</v>
      </c>
      <c r="L22" s="92">
        <f>Data!K9</f>
        <v>20040</v>
      </c>
      <c r="M22" s="92">
        <f>Data!L9</f>
        <v>20040</v>
      </c>
      <c r="N22" s="92">
        <f>Data!M9</f>
        <v>20040</v>
      </c>
      <c r="O22" s="93">
        <f>SUM(D22:N22)</f>
        <v>220440</v>
      </c>
      <c r="P22" s="149">
        <f>O22/$O$9</f>
        <v>0.13292522323043748</v>
      </c>
    </row>
    <row r="23" spans="1:16" ht="12.75">
      <c r="A23" t="s">
        <v>374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3">
        <f>SUM(D23:N23)</f>
        <v>0</v>
      </c>
      <c r="P23" s="149">
        <f>O23/$O$9</f>
        <v>0</v>
      </c>
    </row>
    <row r="24" spans="1:16" ht="12.75">
      <c r="A24" s="80" t="s">
        <v>375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f>-Flujo!C31</f>
        <v>-207173.94748819715</v>
      </c>
      <c r="O24" s="93">
        <f>SUM(D24:N24)</f>
        <v>-207173.94748819715</v>
      </c>
      <c r="P24" s="149">
        <f>O24/$O$9</f>
        <v>-0.12492579938940093</v>
      </c>
    </row>
    <row r="25" spans="4:16" ht="12.75"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150"/>
    </row>
    <row r="26" spans="1:16" ht="13.5" thickBot="1">
      <c r="A26" t="s">
        <v>376</v>
      </c>
      <c r="D26" s="94">
        <f>D19-SUM(D22:D24)</f>
        <v>-28006.0373568</v>
      </c>
      <c r="E26" s="94">
        <f aca="true" t="shared" si="2" ref="E26:N26">E19-SUM(E22:E24)</f>
        <v>11459.361858043863</v>
      </c>
      <c r="F26" s="94">
        <f t="shared" si="2"/>
        <v>32844.32519744287</v>
      </c>
      <c r="G26" s="94">
        <f t="shared" si="2"/>
        <v>51588.090213104835</v>
      </c>
      <c r="H26" s="94">
        <f t="shared" si="2"/>
        <v>52584.27044021136</v>
      </c>
      <c r="I26" s="94">
        <f t="shared" si="2"/>
        <v>55394.98447294206</v>
      </c>
      <c r="J26" s="94">
        <f t="shared" si="2"/>
        <v>77310.78589319116</v>
      </c>
      <c r="K26" s="94">
        <f t="shared" si="2"/>
        <v>76723.35041094464</v>
      </c>
      <c r="L26" s="94">
        <f t="shared" si="2"/>
        <v>76723.35041094464</v>
      </c>
      <c r="M26" s="94">
        <f t="shared" si="2"/>
        <v>76723.35041094464</v>
      </c>
      <c r="N26" s="94">
        <f t="shared" si="2"/>
        <v>290093.3352559418</v>
      </c>
      <c r="O26" s="95">
        <f>SUM(D26:N26)</f>
        <v>773439.1672069118</v>
      </c>
      <c r="P26" s="153">
        <f>O26/$O$9</f>
        <v>0.4663834782985956</v>
      </c>
    </row>
    <row r="27" spans="4:16" ht="13.5" thickTop="1"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  <c r="P27" s="150"/>
    </row>
    <row r="28" spans="1:16" ht="12.75">
      <c r="A28" t="s">
        <v>377</v>
      </c>
      <c r="C28" s="133">
        <v>0.15</v>
      </c>
      <c r="D28" s="92">
        <f>IF(D26&gt;0,D26*$C$28,0)</f>
        <v>0</v>
      </c>
      <c r="E28" s="92">
        <f aca="true" t="shared" si="3" ref="E28:N28">IF(E26&gt;0,E26*$C$28,0)</f>
        <v>1718.9042787065794</v>
      </c>
      <c r="F28" s="92">
        <f t="shared" si="3"/>
        <v>4926.64877961643</v>
      </c>
      <c r="G28" s="92">
        <f t="shared" si="3"/>
        <v>7738.2135319657245</v>
      </c>
      <c r="H28" s="92">
        <f t="shared" si="3"/>
        <v>7887.640566031703</v>
      </c>
      <c r="I28" s="92">
        <f t="shared" si="3"/>
        <v>8309.247670941308</v>
      </c>
      <c r="J28" s="92">
        <f t="shared" si="3"/>
        <v>11596.617883978673</v>
      </c>
      <c r="K28" s="92">
        <f t="shared" si="3"/>
        <v>11508.502561641695</v>
      </c>
      <c r="L28" s="92">
        <f t="shared" si="3"/>
        <v>11508.502561641695</v>
      </c>
      <c r="M28" s="92">
        <f t="shared" si="3"/>
        <v>11508.502561641695</v>
      </c>
      <c r="N28" s="92">
        <f t="shared" si="3"/>
        <v>43514.00028839127</v>
      </c>
      <c r="O28" s="93">
        <f>SUM(D28:N28)</f>
        <v>120216.78068455677</v>
      </c>
      <c r="P28" s="149">
        <f>O28/$O$9</f>
        <v>0.0724906659795829</v>
      </c>
    </row>
    <row r="29" spans="1:16" ht="12.75">
      <c r="A29" t="s">
        <v>378</v>
      </c>
      <c r="C29" s="133">
        <v>0.25</v>
      </c>
      <c r="D29" s="92">
        <f>IF(D26&gt;0,(D26-D28)*$C$29,0)</f>
        <v>0</v>
      </c>
      <c r="E29" s="92">
        <f aca="true" t="shared" si="4" ref="E29:N29">IF(E26&gt;0,(E26-E28)*$C$29,0)</f>
        <v>2435.114394834321</v>
      </c>
      <c r="F29" s="92">
        <f t="shared" si="4"/>
        <v>6979.4191044566105</v>
      </c>
      <c r="G29" s="92">
        <f t="shared" si="4"/>
        <v>10962.469170284778</v>
      </c>
      <c r="H29" s="92">
        <f t="shared" si="4"/>
        <v>11174.157468544914</v>
      </c>
      <c r="I29" s="92">
        <f t="shared" si="4"/>
        <v>11771.434200500187</v>
      </c>
      <c r="J29" s="92">
        <f t="shared" si="4"/>
        <v>16428.542002303122</v>
      </c>
      <c r="K29" s="92">
        <f t="shared" si="4"/>
        <v>16303.711962325735</v>
      </c>
      <c r="L29" s="92">
        <f t="shared" si="4"/>
        <v>16303.711962325735</v>
      </c>
      <c r="M29" s="92">
        <f t="shared" si="4"/>
        <v>16303.711962325735</v>
      </c>
      <c r="N29" s="92">
        <f t="shared" si="4"/>
        <v>61644.83374188763</v>
      </c>
      <c r="O29" s="93">
        <f>SUM(D29:N29)</f>
        <v>170307.10596978877</v>
      </c>
      <c r="P29" s="149">
        <f>O29/$O$9</f>
        <v>0.10269511013774245</v>
      </c>
    </row>
    <row r="30" spans="4:16" ht="12.75"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  <c r="P30" s="150"/>
    </row>
    <row r="31" spans="1:16" ht="15.75" thickBot="1">
      <c r="A31" s="131" t="s">
        <v>379</v>
      </c>
      <c r="D31" s="96">
        <f>D26-SUM(D28:D29)</f>
        <v>-28006.0373568</v>
      </c>
      <c r="E31" s="96">
        <f aca="true" t="shared" si="5" ref="E31:N31">E26-SUM(E28:E29)</f>
        <v>7305.343184502963</v>
      </c>
      <c r="F31" s="96">
        <f t="shared" si="5"/>
        <v>20938.25731336983</v>
      </c>
      <c r="G31" s="96">
        <f t="shared" si="5"/>
        <v>32887.40751085433</v>
      </c>
      <c r="H31" s="96">
        <f t="shared" si="5"/>
        <v>33522.47240563474</v>
      </c>
      <c r="I31" s="96">
        <f t="shared" si="5"/>
        <v>35314.30260150056</v>
      </c>
      <c r="J31" s="96">
        <f t="shared" si="5"/>
        <v>49285.62600690937</v>
      </c>
      <c r="K31" s="96">
        <f t="shared" si="5"/>
        <v>48911.13588697721</v>
      </c>
      <c r="L31" s="96">
        <f t="shared" si="5"/>
        <v>48911.13588697721</v>
      </c>
      <c r="M31" s="96">
        <f t="shared" si="5"/>
        <v>48911.13588697721</v>
      </c>
      <c r="N31" s="96">
        <f t="shared" si="5"/>
        <v>184934.50122566288</v>
      </c>
      <c r="O31" s="97">
        <f>SUM(D31:N31)</f>
        <v>482915.2805525663</v>
      </c>
      <c r="P31" s="154">
        <f>O31/$O$9</f>
        <v>0.2911977021812703</v>
      </c>
    </row>
    <row r="34" spans="2:15" ht="13.5" thickBot="1">
      <c r="B34" s="156" t="s">
        <v>437</v>
      </c>
      <c r="C34" s="156"/>
      <c r="D34" s="156"/>
      <c r="E34" s="157">
        <f>E17/Data!D2</f>
        <v>22.050433611436535</v>
      </c>
      <c r="F34" s="157">
        <f>F17/Data!E2</f>
        <v>18.95758682087972</v>
      </c>
      <c r="G34" s="157">
        <f>G17/Data!F2</f>
        <v>16.90145376835915</v>
      </c>
      <c r="H34" s="157">
        <f>H17/Data!G2</f>
        <v>16.81763768964435</v>
      </c>
      <c r="I34" s="157">
        <f>I17/Data!H2</f>
        <v>16.408110905776205</v>
      </c>
      <c r="J34" s="157">
        <f>J17/Data!I2</f>
        <v>13.774869017801473</v>
      </c>
      <c r="K34" s="157">
        <f>K17/Data!J2</f>
        <v>13.872774931509227</v>
      </c>
      <c r="L34" s="157">
        <f>L17/Data!K2</f>
        <v>13.872774931509227</v>
      </c>
      <c r="M34" s="157">
        <f>M17/Data!L2</f>
        <v>13.872774931509227</v>
      </c>
      <c r="N34" s="157">
        <f>N17/Data!M2</f>
        <v>12.840102038709228</v>
      </c>
      <c r="O34" s="158">
        <f>O17/SUM(Data!C2:M2)</f>
        <v>15.768512935811035</v>
      </c>
    </row>
  </sheetData>
  <sheetProtection sheet="1" objects="1" scenarios="1"/>
  <printOptions/>
  <pageMargins left="0.75" right="0.75" top="1" bottom="1" header="0.5" footer="0.5"/>
  <pageSetup fitToHeight="1" fitToWidth="1" horizontalDpi="360" verticalDpi="36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O36"/>
  <sheetViews>
    <sheetView workbookViewId="0" topLeftCell="A1">
      <selection activeCell="B20" sqref="B20"/>
    </sheetView>
  </sheetViews>
  <sheetFormatPr defaultColWidth="11.421875" defaultRowHeight="12.75"/>
  <cols>
    <col min="1" max="1" width="12.421875" style="0" customWidth="1"/>
  </cols>
  <sheetData>
    <row r="1" spans="1:15" ht="15">
      <c r="A1" s="166" t="s">
        <v>399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6.5">
      <c r="A2" s="168" t="s">
        <v>367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9"/>
      <c r="N2" s="167"/>
      <c r="O2" s="167"/>
    </row>
    <row r="3" spans="1:15" ht="15">
      <c r="A3" s="166" t="s">
        <v>257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2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2.75">
      <c r="A6" s="170" t="s">
        <v>258</v>
      </c>
      <c r="B6" s="167"/>
      <c r="C6" s="171">
        <v>0</v>
      </c>
      <c r="D6" s="171">
        <v>1</v>
      </c>
      <c r="E6" s="171">
        <v>2</v>
      </c>
      <c r="F6" s="171">
        <v>3</v>
      </c>
      <c r="G6" s="171">
        <v>4</v>
      </c>
      <c r="H6" s="171">
        <v>5</v>
      </c>
      <c r="I6" s="171">
        <v>6</v>
      </c>
      <c r="J6" s="171">
        <v>7</v>
      </c>
      <c r="K6" s="171">
        <v>8</v>
      </c>
      <c r="L6" s="171">
        <v>9</v>
      </c>
      <c r="M6" s="171">
        <v>10</v>
      </c>
      <c r="N6" s="172" t="s">
        <v>92</v>
      </c>
      <c r="O6" s="167"/>
    </row>
    <row r="7" spans="1:15" ht="12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73"/>
      <c r="O7" s="167"/>
    </row>
    <row r="8" spans="1:15" ht="12.75">
      <c r="A8" s="174" t="s">
        <v>259</v>
      </c>
      <c r="B8" s="167"/>
      <c r="C8" s="175">
        <f>-Data!C5-Data!C6</f>
        <v>-151620.747136</v>
      </c>
      <c r="D8" s="175">
        <f>-Data!D5-Data!D6</f>
        <v>0</v>
      </c>
      <c r="E8" s="175">
        <f>-Data!E5-Data!E6</f>
        <v>0</v>
      </c>
      <c r="F8" s="175">
        <f>-Data!F5-Data!F6</f>
        <v>0</v>
      </c>
      <c r="G8" s="175">
        <f>-Data!G5-Data!G6</f>
        <v>0</v>
      </c>
      <c r="H8" s="175">
        <f>-Data!H5-Data!H6</f>
        <v>0</v>
      </c>
      <c r="I8" s="175">
        <f>-Data!I5-Data!I6</f>
        <v>-2500</v>
      </c>
      <c r="J8" s="175">
        <f>-Data!J5-Data!J6</f>
        <v>0</v>
      </c>
      <c r="K8" s="175">
        <f>-Data!K5-Data!K6</f>
        <v>0</v>
      </c>
      <c r="L8" s="175">
        <f>-Data!L5-Data!L6</f>
        <v>0</v>
      </c>
      <c r="M8" s="175">
        <f>-Data!M5-Data!M6</f>
        <v>0</v>
      </c>
      <c r="N8" s="176">
        <f>SUM(C8:M8)</f>
        <v>-154120.747136</v>
      </c>
      <c r="O8" s="167"/>
    </row>
    <row r="9" spans="1:15" ht="12.75">
      <c r="A9" s="167"/>
      <c r="B9" s="167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6"/>
      <c r="O9" s="167"/>
    </row>
    <row r="10" spans="1:15" ht="12.75">
      <c r="A10" s="167" t="s">
        <v>260</v>
      </c>
      <c r="B10" s="167"/>
      <c r="C10" s="175">
        <f>Data!C40</f>
        <v>0</v>
      </c>
      <c r="D10" s="175">
        <f>Data!D40</f>
        <v>113918.99999999999</v>
      </c>
      <c r="E10" s="175">
        <f>Data!E40</f>
        <v>142642.50000000003</v>
      </c>
      <c r="F10" s="175">
        <f>Data!F40</f>
        <v>163203</v>
      </c>
      <c r="G10" s="175">
        <f>Data!G40</f>
        <v>165225.00000000003</v>
      </c>
      <c r="H10" s="175">
        <f>Data!H40</f>
        <v>166449</v>
      </c>
      <c r="I10" s="175">
        <f>Data!I40</f>
        <v>179437.5</v>
      </c>
      <c r="J10" s="175">
        <f>Data!J40</f>
        <v>180000</v>
      </c>
      <c r="K10" s="175">
        <f>Data!K40</f>
        <v>180000</v>
      </c>
      <c r="L10" s="175">
        <f>Data!L40</f>
        <v>180000</v>
      </c>
      <c r="M10" s="175">
        <f>Data!M40</f>
        <v>180000</v>
      </c>
      <c r="N10" s="176">
        <f>SUM(C10:M10)</f>
        <v>1650876</v>
      </c>
      <c r="O10" s="175"/>
    </row>
    <row r="11" spans="1:15" ht="12.75">
      <c r="A11" s="177" t="s">
        <v>261</v>
      </c>
      <c r="B11" s="167"/>
      <c r="C11" s="175">
        <f>-Data!C42</f>
        <v>-36281.195535002276</v>
      </c>
      <c r="D11" s="175">
        <f>-Data!D42</f>
        <v>-65250.71085865564</v>
      </c>
      <c r="E11" s="175">
        <f>-Data!E42</f>
        <v>-67342.43254999952</v>
      </c>
      <c r="F11" s="175">
        <f>-Data!F42</f>
        <v>-68996.73307058445</v>
      </c>
      <c r="G11" s="175">
        <f>-Data!G42</f>
        <v>-69096.89703939803</v>
      </c>
      <c r="H11" s="175">
        <f>-Data!H42</f>
        <v>-69251.63134737371</v>
      </c>
      <c r="I11" s="175">
        <f>-Data!I42</f>
        <v>-70344.57487545536</v>
      </c>
      <c r="J11" s="175">
        <f>-Data!J42</f>
        <v>-70344.57487545536</v>
      </c>
      <c r="K11" s="175">
        <f>-Data!K42</f>
        <v>-70344.57487545536</v>
      </c>
      <c r="L11" s="175">
        <f>-Data!L42</f>
        <v>-70344.57487545536</v>
      </c>
      <c r="M11" s="175">
        <f>-Data!M42</f>
        <v>-70344.57487545536</v>
      </c>
      <c r="N11" s="176">
        <f>SUM(C11:M11)</f>
        <v>-727942.4747782904</v>
      </c>
      <c r="O11" s="167"/>
    </row>
    <row r="12" spans="1:15" ht="12.75">
      <c r="A12" s="167"/>
      <c r="B12" s="167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  <c r="O12" s="167"/>
    </row>
    <row r="13" spans="1:15" ht="12.75">
      <c r="A13" s="174" t="s">
        <v>262</v>
      </c>
      <c r="B13" s="167"/>
      <c r="C13" s="178">
        <f>SUM(C10:C11)</f>
        <v>-36281.195535002276</v>
      </c>
      <c r="D13" s="178">
        <f aca="true" t="shared" si="0" ref="D13:N13">SUM(D10:D11)</f>
        <v>48668.28914134434</v>
      </c>
      <c r="E13" s="178">
        <f t="shared" si="0"/>
        <v>75300.06745000051</v>
      </c>
      <c r="F13" s="178">
        <f t="shared" si="0"/>
        <v>94206.26692941555</v>
      </c>
      <c r="G13" s="178">
        <f t="shared" si="0"/>
        <v>96128.102960602</v>
      </c>
      <c r="H13" s="178">
        <f t="shared" si="0"/>
        <v>97197.36865262629</v>
      </c>
      <c r="I13" s="178">
        <f t="shared" si="0"/>
        <v>109092.92512454464</v>
      </c>
      <c r="J13" s="178">
        <f t="shared" si="0"/>
        <v>109655.42512454464</v>
      </c>
      <c r="K13" s="178">
        <f t="shared" si="0"/>
        <v>109655.42512454464</v>
      </c>
      <c r="L13" s="178">
        <f t="shared" si="0"/>
        <v>109655.42512454464</v>
      </c>
      <c r="M13" s="178">
        <f t="shared" si="0"/>
        <v>109655.42512454464</v>
      </c>
      <c r="N13" s="179">
        <f t="shared" si="0"/>
        <v>922933.5252217096</v>
      </c>
      <c r="O13" s="167"/>
    </row>
    <row r="14" spans="1:15" ht="12.75">
      <c r="A14" s="167"/>
      <c r="B14" s="167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  <c r="O14" s="167"/>
    </row>
    <row r="15" spans="1:15" ht="12.75">
      <c r="A15" s="167" t="s">
        <v>263</v>
      </c>
      <c r="B15" s="167"/>
      <c r="C15" s="180">
        <f>-Data!C9</f>
        <v>-20040</v>
      </c>
      <c r="D15" s="180">
        <f>-Data!D9</f>
        <v>-20040</v>
      </c>
      <c r="E15" s="180">
        <f>-Data!E9</f>
        <v>-20040</v>
      </c>
      <c r="F15" s="180">
        <f>-Data!F9</f>
        <v>-20040</v>
      </c>
      <c r="G15" s="180">
        <f>-Data!G9</f>
        <v>-20040</v>
      </c>
      <c r="H15" s="180">
        <f>-Data!H9</f>
        <v>-20040</v>
      </c>
      <c r="I15" s="180">
        <f>-Data!I9</f>
        <v>-20040</v>
      </c>
      <c r="J15" s="180">
        <f>-Data!J9</f>
        <v>-20040</v>
      </c>
      <c r="K15" s="180">
        <f>-Data!K9</f>
        <v>-20040</v>
      </c>
      <c r="L15" s="180">
        <f>-Data!L9</f>
        <v>-20040</v>
      </c>
      <c r="M15" s="180">
        <f>-Data!M9</f>
        <v>-20040</v>
      </c>
      <c r="N15" s="176">
        <f>SUM(C15:M15)</f>
        <v>-220440</v>
      </c>
      <c r="O15" s="167"/>
    </row>
    <row r="16" spans="1:15" ht="12.75">
      <c r="A16" s="167"/>
      <c r="B16" s="167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6"/>
      <c r="O16" s="167"/>
    </row>
    <row r="17" spans="1:15" ht="13.5" thickBot="1">
      <c r="A17" s="174" t="s">
        <v>264</v>
      </c>
      <c r="B17" s="167"/>
      <c r="C17" s="181">
        <f>+C13+C15+C8</f>
        <v>-207941.94267100227</v>
      </c>
      <c r="D17" s="181">
        <f aca="true" t="shared" si="1" ref="D17:M17">+D13+D15+D8</f>
        <v>28628.289141344343</v>
      </c>
      <c r="E17" s="181">
        <f t="shared" si="1"/>
        <v>55260.06745000051</v>
      </c>
      <c r="F17" s="181">
        <f t="shared" si="1"/>
        <v>74166.26692941555</v>
      </c>
      <c r="G17" s="181">
        <f t="shared" si="1"/>
        <v>76088.102960602</v>
      </c>
      <c r="H17" s="181">
        <f t="shared" si="1"/>
        <v>77157.36865262629</v>
      </c>
      <c r="I17" s="181">
        <f t="shared" si="1"/>
        <v>86552.92512454464</v>
      </c>
      <c r="J17" s="181">
        <f t="shared" si="1"/>
        <v>89615.42512454464</v>
      </c>
      <c r="K17" s="181">
        <f t="shared" si="1"/>
        <v>89615.42512454464</v>
      </c>
      <c r="L17" s="181">
        <f t="shared" si="1"/>
        <v>89615.42512454464</v>
      </c>
      <c r="M17" s="181">
        <f t="shared" si="1"/>
        <v>89615.42512454464</v>
      </c>
      <c r="N17" s="182">
        <f>+N13+N15+N8</f>
        <v>548372.7780857097</v>
      </c>
      <c r="O17" s="167"/>
    </row>
    <row r="18" spans="1:15" ht="13.5" thickTop="1">
      <c r="A18" s="167"/>
      <c r="B18" s="167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67"/>
    </row>
    <row r="19" spans="1:15" ht="12.75">
      <c r="A19" s="167" t="s">
        <v>265</v>
      </c>
      <c r="B19" s="167"/>
      <c r="C19" s="175">
        <f>-SUM(PyG!D28:D29)</f>
        <v>0</v>
      </c>
      <c r="D19" s="175">
        <f>-SUM(PyG!E28:E29)</f>
        <v>-4154.018673540901</v>
      </c>
      <c r="E19" s="175">
        <f>-SUM(PyG!F28:F29)</f>
        <v>-11906.06788407304</v>
      </c>
      <c r="F19" s="175">
        <f>-SUM(PyG!G28:G29)</f>
        <v>-18700.682702250502</v>
      </c>
      <c r="G19" s="175">
        <f>-SUM(PyG!H28:H29)</f>
        <v>-19061.79803457662</v>
      </c>
      <c r="H19" s="175">
        <f>-SUM(PyG!I28:I29)</f>
        <v>-20080.681871441495</v>
      </c>
      <c r="I19" s="175">
        <f>-SUM(PyG!J28:J29)</f>
        <v>-28025.159886281795</v>
      </c>
      <c r="J19" s="175">
        <f>-SUM(PyG!K28:K29)</f>
        <v>-27812.21452396743</v>
      </c>
      <c r="K19" s="175">
        <f>-SUM(PyG!L28:L29)</f>
        <v>-27812.21452396743</v>
      </c>
      <c r="L19" s="175">
        <f>-SUM(PyG!M28:M29)</f>
        <v>-27812.21452396743</v>
      </c>
      <c r="M19" s="175">
        <f>-SUM(PyG!N28:N29)+C31</f>
        <v>102015.11345791825</v>
      </c>
      <c r="N19" s="176">
        <f>SUM(C19:M19)</f>
        <v>-83349.9391661484</v>
      </c>
      <c r="O19" s="167"/>
    </row>
    <row r="20" spans="1:15" ht="12.75">
      <c r="A20" s="167" t="s">
        <v>266</v>
      </c>
      <c r="B20" s="62">
        <v>0.05</v>
      </c>
      <c r="C20" s="175">
        <f>C11*$B$20/12</f>
        <v>-151.1716480625095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6">
        <f>SUM(C20:M20)</f>
        <v>-151.1716480625095</v>
      </c>
      <c r="O20" s="167"/>
    </row>
    <row r="21" spans="1:15" ht="12.75">
      <c r="A21" s="167"/>
      <c r="B21" s="167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6"/>
      <c r="O21" s="167"/>
    </row>
    <row r="22" spans="1:15" ht="12.75">
      <c r="A22" s="167"/>
      <c r="B22" s="167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67"/>
    </row>
    <row r="23" spans="1:15" ht="13.5" thickBot="1">
      <c r="A23" s="174" t="s">
        <v>267</v>
      </c>
      <c r="B23" s="167"/>
      <c r="C23" s="183">
        <f aca="true" t="shared" si="2" ref="C23:N23">+C17+SUM(C19:C20)</f>
        <v>-208093.11431906477</v>
      </c>
      <c r="D23" s="183">
        <f t="shared" si="2"/>
        <v>24474.270467803442</v>
      </c>
      <c r="E23" s="183">
        <f t="shared" si="2"/>
        <v>43353.99956592747</v>
      </c>
      <c r="F23" s="183">
        <f t="shared" si="2"/>
        <v>55465.58422716505</v>
      </c>
      <c r="G23" s="183">
        <f t="shared" si="2"/>
        <v>57026.30492602538</v>
      </c>
      <c r="H23" s="183">
        <f t="shared" si="2"/>
        <v>57076.68678118479</v>
      </c>
      <c r="I23" s="183">
        <f t="shared" si="2"/>
        <v>58527.765238262844</v>
      </c>
      <c r="J23" s="183">
        <f t="shared" si="2"/>
        <v>61803.21060057721</v>
      </c>
      <c r="K23" s="183">
        <f t="shared" si="2"/>
        <v>61803.21060057721</v>
      </c>
      <c r="L23" s="183">
        <f t="shared" si="2"/>
        <v>61803.21060057721</v>
      </c>
      <c r="M23" s="183">
        <f t="shared" si="2"/>
        <v>191630.53858246288</v>
      </c>
      <c r="N23" s="184">
        <f t="shared" si="2"/>
        <v>464871.66727149877</v>
      </c>
      <c r="O23" s="167"/>
    </row>
    <row r="24" spans="1:15" ht="12.7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73"/>
      <c r="O24" s="167"/>
    </row>
    <row r="25" spans="1:15" ht="12.75">
      <c r="A25" s="167" t="s">
        <v>450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73"/>
      <c r="O25" s="167"/>
    </row>
    <row r="26" spans="1:15" ht="12.75">
      <c r="A26" s="167" t="s">
        <v>454</v>
      </c>
      <c r="B26" s="167"/>
      <c r="C26" s="175">
        <f>C23</f>
        <v>-208093.11431906477</v>
      </c>
      <c r="D26" s="175">
        <f>C26+D23</f>
        <v>-183618.84385126134</v>
      </c>
      <c r="E26" s="175">
        <f aca="true" t="shared" si="3" ref="E26:M26">D26+E23</f>
        <v>-140264.84428533388</v>
      </c>
      <c r="F26" s="175">
        <f t="shared" si="3"/>
        <v>-84799.26005816883</v>
      </c>
      <c r="G26" s="175">
        <f t="shared" si="3"/>
        <v>-27772.95513214345</v>
      </c>
      <c r="H26" s="175">
        <f t="shared" si="3"/>
        <v>29303.731649041343</v>
      </c>
      <c r="I26" s="175">
        <f t="shared" si="3"/>
        <v>87831.49688730418</v>
      </c>
      <c r="J26" s="175">
        <f t="shared" si="3"/>
        <v>149634.7074878814</v>
      </c>
      <c r="K26" s="175">
        <f t="shared" si="3"/>
        <v>211437.9180884586</v>
      </c>
      <c r="L26" s="175">
        <f t="shared" si="3"/>
        <v>273241.1286890358</v>
      </c>
      <c r="M26" s="175">
        <f t="shared" si="3"/>
        <v>464871.66727149865</v>
      </c>
      <c r="N26" s="173"/>
      <c r="O26" s="167"/>
    </row>
    <row r="27" spans="1:15" ht="12.75">
      <c r="A27" s="167" t="s">
        <v>457</v>
      </c>
      <c r="B27" s="167"/>
      <c r="C27" s="175">
        <f>C23/(1+$C$33)^C6</f>
        <v>-208093.11431906477</v>
      </c>
      <c r="D27" s="175">
        <f aca="true" t="shared" si="4" ref="D27:M27">D23/(1+$C$33)^D6</f>
        <v>21281.97431982908</v>
      </c>
      <c r="E27" s="175">
        <f t="shared" si="4"/>
        <v>32781.852223763686</v>
      </c>
      <c r="F27" s="175">
        <f t="shared" si="4"/>
        <v>36469.521970684684</v>
      </c>
      <c r="G27" s="175">
        <f t="shared" si="4"/>
        <v>32604.974925633</v>
      </c>
      <c r="H27" s="175">
        <f t="shared" si="4"/>
        <v>28377.200795512512</v>
      </c>
      <c r="I27" s="175">
        <f t="shared" si="4"/>
        <v>25303.16803953414</v>
      </c>
      <c r="J27" s="175">
        <f t="shared" si="4"/>
        <v>23234.1160509245</v>
      </c>
      <c r="K27" s="175">
        <f t="shared" si="4"/>
        <v>20203.579174716957</v>
      </c>
      <c r="L27" s="175">
        <f t="shared" si="4"/>
        <v>17568.32971714518</v>
      </c>
      <c r="M27" s="175">
        <f t="shared" si="4"/>
        <v>47368.13836348096</v>
      </c>
      <c r="N27" s="173"/>
      <c r="O27" s="167"/>
    </row>
    <row r="28" spans="1:15" ht="12.75">
      <c r="A28" s="167" t="s">
        <v>457</v>
      </c>
      <c r="B28" s="167"/>
      <c r="C28" s="175">
        <f>C27</f>
        <v>-208093.11431906477</v>
      </c>
      <c r="D28" s="175">
        <f>D27+C28</f>
        <v>-186811.1399992357</v>
      </c>
      <c r="E28" s="175">
        <f aca="true" t="shared" si="5" ref="E28:M28">E27+D28</f>
        <v>-154029.287775472</v>
      </c>
      <c r="F28" s="175">
        <f t="shared" si="5"/>
        <v>-117559.76580478733</v>
      </c>
      <c r="G28" s="175">
        <f t="shared" si="5"/>
        <v>-84954.79087915433</v>
      </c>
      <c r="H28" s="175">
        <f t="shared" si="5"/>
        <v>-56577.590083641815</v>
      </c>
      <c r="I28" s="175">
        <f t="shared" si="5"/>
        <v>-31274.422044107676</v>
      </c>
      <c r="J28" s="175">
        <f t="shared" si="5"/>
        <v>-8040.305993183178</v>
      </c>
      <c r="K28" s="175">
        <f t="shared" si="5"/>
        <v>12163.27318153378</v>
      </c>
      <c r="L28" s="175">
        <f t="shared" si="5"/>
        <v>29731.60289867896</v>
      </c>
      <c r="M28" s="175">
        <f t="shared" si="5"/>
        <v>77099.74126215992</v>
      </c>
      <c r="N28" s="173"/>
      <c r="O28" s="167"/>
    </row>
    <row r="29" spans="1:15" ht="12.7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73"/>
      <c r="O29" s="167"/>
    </row>
    <row r="30" spans="1:15" ht="12.7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73"/>
      <c r="O30" s="167"/>
    </row>
    <row r="31" spans="1:15" ht="12.75">
      <c r="A31" s="174" t="s">
        <v>448</v>
      </c>
      <c r="B31" s="167"/>
      <c r="C31" s="185">
        <f>(L23/C33)-(L23/C33)/(1+C33)^5</f>
        <v>207173.94748819715</v>
      </c>
      <c r="D31" s="185" t="s">
        <v>451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6"/>
      <c r="O31" s="167"/>
    </row>
    <row r="32" spans="1:15" ht="12.75">
      <c r="A32" s="177" t="s">
        <v>459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87"/>
      <c r="N32" s="173"/>
      <c r="O32" s="167"/>
    </row>
    <row r="33" spans="1:15" ht="12.75">
      <c r="A33" s="167" t="s">
        <v>452</v>
      </c>
      <c r="B33" s="167"/>
      <c r="C33" s="188">
        <v>0.15</v>
      </c>
      <c r="D33" s="175">
        <f>NPV(C33,D23:M23)+C23</f>
        <v>77099.74126215995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</row>
    <row r="34" spans="1:15" ht="12.75">
      <c r="A34" s="167" t="s">
        <v>268</v>
      </c>
      <c r="B34" s="167"/>
      <c r="C34" s="167"/>
      <c r="D34" s="188">
        <f>IRR(C23:M23)</f>
        <v>0.22089153456272714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</row>
    <row r="35" spans="1:15" ht="12.75">
      <c r="A35" s="167" t="s">
        <v>453</v>
      </c>
      <c r="B35" s="167"/>
      <c r="C35" s="167"/>
      <c r="D35" s="167" t="s">
        <v>455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</row>
    <row r="36" spans="1:15" ht="12.75">
      <c r="A36" s="167" t="s">
        <v>456</v>
      </c>
      <c r="B36" s="167"/>
      <c r="C36" s="167"/>
      <c r="D36" s="167" t="s">
        <v>458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1:R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28.00390625" style="0" bestFit="1" customWidth="1"/>
    <col min="3" max="13" width="11.7109375" style="0" customWidth="1"/>
    <col min="14" max="14" width="10.28125" style="0" bestFit="1" customWidth="1"/>
    <col min="15" max="16384" width="9.140625" style="0" customWidth="1"/>
  </cols>
  <sheetData>
    <row r="1" ht="15">
      <c r="A1" s="78" t="s">
        <v>399</v>
      </c>
    </row>
    <row r="2" ht="15">
      <c r="A2" s="79" t="s">
        <v>367</v>
      </c>
    </row>
    <row r="3" ht="15">
      <c r="A3" s="78" t="s">
        <v>381</v>
      </c>
    </row>
    <row r="6" spans="1:18" ht="12.75">
      <c r="A6" s="46" t="s">
        <v>382</v>
      </c>
      <c r="C6" s="139">
        <v>0</v>
      </c>
      <c r="D6" s="139">
        <v>1</v>
      </c>
      <c r="E6" s="139">
        <v>2</v>
      </c>
      <c r="F6" s="139">
        <v>3</v>
      </c>
      <c r="G6" s="139">
        <v>4</v>
      </c>
      <c r="H6" s="139">
        <v>5</v>
      </c>
      <c r="I6" s="139">
        <v>6</v>
      </c>
      <c r="J6" s="139">
        <v>7</v>
      </c>
      <c r="K6" s="139">
        <v>8</v>
      </c>
      <c r="L6" s="139">
        <v>9</v>
      </c>
      <c r="M6" s="139">
        <v>10</v>
      </c>
      <c r="N6" s="134"/>
      <c r="O6" s="134"/>
      <c r="P6" s="134"/>
      <c r="Q6" s="134"/>
      <c r="R6" s="134"/>
    </row>
    <row r="7" spans="2:18" ht="12.75">
      <c r="B7" s="80" t="s">
        <v>383</v>
      </c>
      <c r="C7" s="135">
        <f>Flujo!C23+C22-Flujo!C20</f>
        <v>151.1716480625095</v>
      </c>
      <c r="D7" s="135">
        <f>Flujo!D23+C7</f>
        <v>24625.442115865953</v>
      </c>
      <c r="E7" s="135">
        <f>Flujo!E23+D7</f>
        <v>67979.44168179343</v>
      </c>
      <c r="F7" s="135">
        <f>Flujo!F23+E7</f>
        <v>123445.02590895847</v>
      </c>
      <c r="G7" s="135">
        <f>Flujo!G23+F7</f>
        <v>180471.33083498385</v>
      </c>
      <c r="H7" s="135">
        <f>Flujo!H23+G7</f>
        <v>237548.01761616865</v>
      </c>
      <c r="I7" s="135">
        <f>Flujo!I23+H7</f>
        <v>296075.7828544315</v>
      </c>
      <c r="J7" s="135">
        <f>Flujo!J23+I7</f>
        <v>357878.9934550087</v>
      </c>
      <c r="K7" s="135">
        <f>Flujo!K23+J7</f>
        <v>419682.2040555859</v>
      </c>
      <c r="L7" s="135">
        <f>Flujo!L23+K7</f>
        <v>481485.4146561631</v>
      </c>
      <c r="M7" s="135">
        <f>Flujo!M23+L7</f>
        <v>673115.953238626</v>
      </c>
      <c r="N7" s="92"/>
      <c r="O7" s="92"/>
      <c r="P7" s="92"/>
      <c r="Q7" s="92"/>
      <c r="R7" s="92"/>
    </row>
    <row r="8" spans="2:18" ht="12.75">
      <c r="B8" t="s">
        <v>384</v>
      </c>
      <c r="C8" s="135">
        <f>Data!C22</f>
        <v>0</v>
      </c>
      <c r="D8" s="135">
        <f>Data!D22</f>
        <v>4952.999999999999</v>
      </c>
      <c r="E8" s="135">
        <f>Data!E22</f>
        <v>5986.500000000001</v>
      </c>
      <c r="F8" s="135">
        <f>Data!F22</f>
        <v>6835.5</v>
      </c>
      <c r="G8" s="135">
        <f>Data!G22</f>
        <v>6886.500000000001</v>
      </c>
      <c r="H8" s="135">
        <f>Data!H22</f>
        <v>6937.5</v>
      </c>
      <c r="I8" s="135">
        <f>Data!I22</f>
        <v>7500</v>
      </c>
      <c r="J8" s="135">
        <f>Data!J22</f>
        <v>7500</v>
      </c>
      <c r="K8" s="135">
        <f>Data!K22</f>
        <v>7500</v>
      </c>
      <c r="L8" s="135">
        <f>Data!L22</f>
        <v>7500</v>
      </c>
      <c r="M8" s="135">
        <f>Data!M22</f>
        <v>7500</v>
      </c>
      <c r="N8" s="92"/>
      <c r="O8" s="92"/>
      <c r="P8" s="92"/>
      <c r="Q8" s="92"/>
      <c r="R8" s="92"/>
    </row>
    <row r="9" spans="2:18" ht="12.75">
      <c r="B9" s="80" t="s">
        <v>385</v>
      </c>
      <c r="C9" s="135">
        <f>Data!C17</f>
        <v>1234.973720195021</v>
      </c>
      <c r="D9" s="135">
        <f>Data!D17</f>
        <v>1407.619054230902</v>
      </c>
      <c r="E9" s="135">
        <f>Data!E17</f>
        <v>1540.3090224401851</v>
      </c>
      <c r="F9" s="135">
        <f>Data!F17</f>
        <v>1548.957186502388</v>
      </c>
      <c r="G9" s="135">
        <f>Data!G17</f>
        <v>1564.8333504303034</v>
      </c>
      <c r="H9" s="135">
        <f>Data!H17</f>
        <v>1652.268832676836</v>
      </c>
      <c r="I9" s="135">
        <f>Data!I17</f>
        <v>1652.268832676836</v>
      </c>
      <c r="J9" s="135">
        <f>Data!J17</f>
        <v>1652.268832676836</v>
      </c>
      <c r="K9" s="135">
        <f>Data!K17</f>
        <v>1652.268832676836</v>
      </c>
      <c r="L9" s="135">
        <f>Data!L17</f>
        <v>1652.268832676836</v>
      </c>
      <c r="M9" s="135">
        <f>Data!M17</f>
        <v>1652.268832676836</v>
      </c>
      <c r="N9" s="92"/>
      <c r="O9" s="92"/>
      <c r="P9" s="92"/>
      <c r="Q9" s="92"/>
      <c r="R9" s="92"/>
    </row>
    <row r="10" spans="2:18" ht="12.75">
      <c r="B10" t="s">
        <v>386</v>
      </c>
      <c r="C10" s="135">
        <f>Data!C37</f>
        <v>4741.655450655344</v>
      </c>
      <c r="D10" s="135">
        <f>Data!D37</f>
        <v>6261.593436861702</v>
      </c>
      <c r="E10" s="135">
        <f>Data!E37</f>
        <v>6434.2387708975875</v>
      </c>
      <c r="F10" s="135">
        <f>Data!F37</f>
        <v>6566.928739106865</v>
      </c>
      <c r="G10" s="135">
        <f>Data!G37</f>
        <v>6575.5769031690725</v>
      </c>
      <c r="H10" s="135">
        <f>Data!H37</f>
        <v>6591.453067096998</v>
      </c>
      <c r="I10" s="135">
        <f>Data!I37</f>
        <v>6678.888549343523</v>
      </c>
      <c r="J10" s="135">
        <f>Data!J37</f>
        <v>6678.888549343523</v>
      </c>
      <c r="K10" s="135">
        <f>Data!K37</f>
        <v>6678.888549343523</v>
      </c>
      <c r="L10" s="135">
        <f>Data!L37</f>
        <v>6678.888549343523</v>
      </c>
      <c r="M10" s="135">
        <f>Data!M37</f>
        <v>6678.888549343523</v>
      </c>
      <c r="N10" s="92"/>
      <c r="O10" s="92"/>
      <c r="P10" s="92"/>
      <c r="Q10" s="92"/>
      <c r="R10" s="92"/>
    </row>
    <row r="11" spans="2:18" ht="12.75">
      <c r="B11" t="s">
        <v>387</v>
      </c>
      <c r="C11" s="135">
        <f>Data!C44</f>
        <v>170</v>
      </c>
      <c r="D11" s="135">
        <f>Data!D44</f>
        <v>170</v>
      </c>
      <c r="E11" s="135">
        <f>Data!E44</f>
        <v>170</v>
      </c>
      <c r="F11" s="135">
        <f>Data!F44</f>
        <v>170</v>
      </c>
      <c r="G11" s="135">
        <f>Data!G44</f>
        <v>170</v>
      </c>
      <c r="H11" s="135">
        <f>Data!H44</f>
        <v>170</v>
      </c>
      <c r="I11" s="135">
        <f>Data!I44</f>
        <v>170</v>
      </c>
      <c r="J11" s="135">
        <f>Data!J44</f>
        <v>170</v>
      </c>
      <c r="K11" s="135">
        <f>Data!K44</f>
        <v>170</v>
      </c>
      <c r="L11" s="135">
        <f>Data!L44</f>
        <v>170</v>
      </c>
      <c r="M11" s="135">
        <f>Data!M44</f>
        <v>170</v>
      </c>
      <c r="N11" s="92"/>
      <c r="O11" s="92"/>
      <c r="P11" s="92"/>
      <c r="Q11" s="92"/>
      <c r="R11" s="92"/>
    </row>
    <row r="12" spans="2:18" ht="12.75">
      <c r="B12" t="s">
        <v>388</v>
      </c>
      <c r="C12" s="135">
        <f>Data!C5</f>
        <v>146620.747136</v>
      </c>
      <c r="D12" s="135">
        <f>C12+Data!D5</f>
        <v>146620.747136</v>
      </c>
      <c r="E12" s="135">
        <f>D12+Data!E5</f>
        <v>146620.747136</v>
      </c>
      <c r="F12" s="135">
        <f>E12+Data!F5</f>
        <v>146620.747136</v>
      </c>
      <c r="G12" s="135">
        <f>F12+Data!G5</f>
        <v>146620.747136</v>
      </c>
      <c r="H12" s="135">
        <f>G12+Data!H5</f>
        <v>146620.747136</v>
      </c>
      <c r="I12" s="135">
        <f>H12+Data!I5</f>
        <v>146620.747136</v>
      </c>
      <c r="J12" s="135">
        <f>I12+Data!J5</f>
        <v>146620.747136</v>
      </c>
      <c r="K12" s="135">
        <f>J12+Data!K5</f>
        <v>146620.747136</v>
      </c>
      <c r="L12" s="135">
        <f>K12+Data!L5</f>
        <v>146620.747136</v>
      </c>
      <c r="M12" s="135">
        <f>L12+Data!M5</f>
        <v>146620.747136</v>
      </c>
      <c r="N12" s="92"/>
      <c r="O12" s="92"/>
      <c r="P12" s="92"/>
      <c r="Q12" s="92"/>
      <c r="R12" s="92"/>
    </row>
    <row r="13" spans="2:18" ht="12.75">
      <c r="B13" t="s">
        <v>389</v>
      </c>
      <c r="C13" s="135">
        <f>-Data!C26</f>
        <v>-7966.0373567999995</v>
      </c>
      <c r="D13" s="135">
        <f>-Data!D26+C13</f>
        <v>-23898.1120704</v>
      </c>
      <c r="E13" s="135">
        <f>-Data!E26+D13</f>
        <v>-39830.186784</v>
      </c>
      <c r="F13" s="135">
        <f>-Data!F26+E13</f>
        <v>-55762.2614976</v>
      </c>
      <c r="G13" s="135">
        <f>-Data!G26+F13</f>
        <v>-71694.33621119999</v>
      </c>
      <c r="H13" s="135">
        <f>-Data!H26+G13</f>
        <v>-85856.41092479999</v>
      </c>
      <c r="I13" s="135">
        <f>-Data!I26+H13</f>
        <v>-98248.48563839999</v>
      </c>
      <c r="J13" s="135">
        <f>-Data!J26+I13</f>
        <v>-110640.56035199999</v>
      </c>
      <c r="K13" s="135">
        <f>-Data!K26+J13</f>
        <v>-123032.63506559998</v>
      </c>
      <c r="L13" s="135">
        <f>-Data!L26+K13</f>
        <v>-135424.70977919997</v>
      </c>
      <c r="M13" s="135">
        <f>-Data!M26+L13</f>
        <v>-141620.74713599996</v>
      </c>
      <c r="N13" s="92"/>
      <c r="O13" s="92"/>
      <c r="P13" s="92"/>
      <c r="Q13" s="92"/>
      <c r="R13" s="92"/>
    </row>
    <row r="14" spans="2:18" ht="12.75">
      <c r="B14" t="s">
        <v>449</v>
      </c>
      <c r="C14" s="135">
        <f>Data!C6-Data!C25</f>
        <v>5000</v>
      </c>
      <c r="D14" s="135">
        <f>Data!D6+C14-Data!D25</f>
        <v>4000</v>
      </c>
      <c r="E14" s="135">
        <f>Data!E6+D14-Data!E25</f>
        <v>3000</v>
      </c>
      <c r="F14" s="135">
        <f>Data!F6+E14-Data!F25</f>
        <v>2000</v>
      </c>
      <c r="G14" s="135">
        <f>Data!G6+F14-Data!G25</f>
        <v>1000</v>
      </c>
      <c r="H14" s="135">
        <f>Data!H6+G14-Data!H25</f>
        <v>0</v>
      </c>
      <c r="I14" s="135">
        <f>Data!I6+H14-Data!I25</f>
        <v>2500</v>
      </c>
      <c r="J14" s="135">
        <f>Data!J6+I14-Data!J25</f>
        <v>2000</v>
      </c>
      <c r="K14" s="135">
        <f>Data!K6+J14-Data!K25</f>
        <v>1500</v>
      </c>
      <c r="L14" s="135">
        <f>Data!L6+K14-Data!L25</f>
        <v>1000</v>
      </c>
      <c r="M14" s="135">
        <f>Data!M6+L14-Data!M25</f>
        <v>500</v>
      </c>
      <c r="N14" s="92"/>
      <c r="O14" s="92"/>
      <c r="P14" s="92"/>
      <c r="Q14" s="92"/>
      <c r="R14" s="92"/>
    </row>
    <row r="15" spans="2:18" ht="12.75">
      <c r="B15" s="21" t="s">
        <v>424</v>
      </c>
      <c r="C15" s="135">
        <f>Data!C7-Data!C27</f>
        <v>33117.33944444444</v>
      </c>
      <c r="D15" s="135">
        <f>Data!D7+C15-Data!D27</f>
        <v>26493.871555555554</v>
      </c>
      <c r="E15" s="135">
        <f>Data!E7+D15-Data!E27</f>
        <v>19870.403666666665</v>
      </c>
      <c r="F15" s="135">
        <f>Data!F7+E15-Data!F27</f>
        <v>13246.935777777777</v>
      </c>
      <c r="G15" s="135">
        <f>Data!G7+F15-Data!G27</f>
        <v>6623.467888888888</v>
      </c>
      <c r="H15" s="135">
        <f>Data!H7+G15-Data!H27</f>
        <v>0</v>
      </c>
      <c r="I15" s="135">
        <f>Data!I7+H15-Data!I27</f>
        <v>0</v>
      </c>
      <c r="J15" s="135">
        <f>Data!J7+I15-Data!J27</f>
        <v>0</v>
      </c>
      <c r="K15" s="135">
        <f>Data!K7+J15-Data!K27</f>
        <v>0</v>
      </c>
      <c r="L15" s="135">
        <f>Data!L7+K15-Data!L27</f>
        <v>0</v>
      </c>
      <c r="M15" s="135">
        <f>Data!M7+L15-Data!M27</f>
        <v>0</v>
      </c>
      <c r="N15" s="92"/>
      <c r="O15" s="92"/>
      <c r="P15" s="92"/>
      <c r="Q15" s="92"/>
      <c r="R15" s="92"/>
    </row>
    <row r="16" spans="1:18" ht="12.75">
      <c r="A16" s="2" t="s">
        <v>390</v>
      </c>
      <c r="C16" s="136">
        <f aca="true" t="shared" si="0" ref="C16:M16">SUM(C7:C15)</f>
        <v>183069.85004255734</v>
      </c>
      <c r="D16" s="136">
        <f t="shared" si="0"/>
        <v>190634.1612281141</v>
      </c>
      <c r="E16" s="136">
        <f t="shared" si="0"/>
        <v>211771.45349379786</v>
      </c>
      <c r="F16" s="136">
        <f t="shared" si="0"/>
        <v>244671.83325074552</v>
      </c>
      <c r="G16" s="136">
        <f t="shared" si="0"/>
        <v>278218.1199022721</v>
      </c>
      <c r="H16" s="136">
        <f t="shared" si="0"/>
        <v>313663.5757271425</v>
      </c>
      <c r="I16" s="136">
        <f t="shared" si="0"/>
        <v>362949.2017340518</v>
      </c>
      <c r="J16" s="136">
        <f t="shared" si="0"/>
        <v>411860.33762102906</v>
      </c>
      <c r="K16" s="136">
        <f t="shared" si="0"/>
        <v>460771.47350800625</v>
      </c>
      <c r="L16" s="136">
        <f t="shared" si="0"/>
        <v>509682.60939498345</v>
      </c>
      <c r="M16" s="136">
        <f t="shared" si="0"/>
        <v>694617.1106206464</v>
      </c>
      <c r="N16" s="92"/>
      <c r="O16" s="92"/>
      <c r="P16" s="92"/>
      <c r="Q16" s="92"/>
      <c r="R16" s="92"/>
    </row>
    <row r="17" spans="3:18" ht="12.75"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ht="12.75">
      <c r="A18" s="46" t="s">
        <v>391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2:18" ht="12.75">
      <c r="B19" t="s">
        <v>392</v>
      </c>
      <c r="C19" s="135">
        <f>Data!C18</f>
        <v>1852.4605802925316</v>
      </c>
      <c r="D19" s="135">
        <f>Data!D18</f>
        <v>2111.428581346353</v>
      </c>
      <c r="E19" s="135">
        <f>Data!E18</f>
        <v>2310.463533660278</v>
      </c>
      <c r="F19" s="135">
        <f>Data!F18</f>
        <v>2323.4357797535818</v>
      </c>
      <c r="G19" s="135">
        <f>Data!G18</f>
        <v>2347.250025645455</v>
      </c>
      <c r="H19" s="135">
        <f>Data!H18</f>
        <v>2478.403249015254</v>
      </c>
      <c r="I19" s="135">
        <f>Data!I18</f>
        <v>2478.403249015254</v>
      </c>
      <c r="J19" s="135">
        <f>Data!J18</f>
        <v>2478.403249015254</v>
      </c>
      <c r="K19" s="135">
        <f>Data!K18</f>
        <v>2478.403249015254</v>
      </c>
      <c r="L19" s="135">
        <f>Data!L18</f>
        <v>2478.403249015254</v>
      </c>
      <c r="M19" s="135">
        <f>Data!M18</f>
        <v>2478.403249015254</v>
      </c>
      <c r="N19" s="92"/>
      <c r="O19" s="92"/>
      <c r="P19" s="92"/>
      <c r="Q19" s="92"/>
      <c r="R19" s="92"/>
    </row>
    <row r="20" spans="2:18" ht="12.75">
      <c r="B20" s="80" t="s">
        <v>393</v>
      </c>
      <c r="C20" s="135">
        <f>Data!C19</f>
        <v>1130.3125</v>
      </c>
      <c r="D20" s="135">
        <f>Data!D19</f>
        <v>1130.3125</v>
      </c>
      <c r="E20" s="135">
        <f>Data!E19</f>
        <v>1130.3125</v>
      </c>
      <c r="F20" s="135">
        <f>Data!F19</f>
        <v>1130.3125</v>
      </c>
      <c r="G20" s="135">
        <f>Data!G19</f>
        <v>1130.3125</v>
      </c>
      <c r="H20" s="135">
        <f>Data!H19</f>
        <v>1130.3125</v>
      </c>
      <c r="I20" s="135">
        <f>Data!I19</f>
        <v>1130.3125</v>
      </c>
      <c r="J20" s="135">
        <f>Data!J19</f>
        <v>1130.3125</v>
      </c>
      <c r="K20" s="135">
        <f>Data!K19</f>
        <v>1130.3125</v>
      </c>
      <c r="L20" s="135">
        <f>Data!L19</f>
        <v>1130.3125</v>
      </c>
      <c r="M20" s="135">
        <f>Data!M19</f>
        <v>1130.3125</v>
      </c>
      <c r="N20" s="92"/>
      <c r="O20" s="92"/>
      <c r="P20" s="92"/>
      <c r="Q20" s="92"/>
      <c r="R20" s="92"/>
    </row>
    <row r="21" spans="1:18" ht="12.75">
      <c r="A21" s="46" t="s">
        <v>394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2:18" ht="12.75">
      <c r="B22" s="80" t="s">
        <v>395</v>
      </c>
      <c r="C22" s="135">
        <f>-Flujo!C23</f>
        <v>208093.11431906477</v>
      </c>
      <c r="D22" s="135">
        <f>C22</f>
        <v>208093.11431906477</v>
      </c>
      <c r="E22" s="135">
        <f aca="true" t="shared" si="1" ref="E22:M22">D22</f>
        <v>208093.11431906477</v>
      </c>
      <c r="F22" s="135">
        <f t="shared" si="1"/>
        <v>208093.11431906477</v>
      </c>
      <c r="G22" s="135">
        <f t="shared" si="1"/>
        <v>208093.11431906477</v>
      </c>
      <c r="H22" s="135">
        <f t="shared" si="1"/>
        <v>208093.11431906477</v>
      </c>
      <c r="I22" s="135">
        <f t="shared" si="1"/>
        <v>208093.11431906477</v>
      </c>
      <c r="J22" s="135">
        <f t="shared" si="1"/>
        <v>208093.11431906477</v>
      </c>
      <c r="K22" s="135">
        <f t="shared" si="1"/>
        <v>208093.11431906477</v>
      </c>
      <c r="L22" s="135">
        <f t="shared" si="1"/>
        <v>208093.11431906477</v>
      </c>
      <c r="M22" s="135">
        <f t="shared" si="1"/>
        <v>208093.11431906477</v>
      </c>
      <c r="N22" s="92"/>
      <c r="O22" s="92"/>
      <c r="P22" s="92"/>
      <c r="Q22" s="92"/>
      <c r="R22" s="92"/>
    </row>
    <row r="23" spans="2:18" ht="12.75">
      <c r="B23" s="80" t="s">
        <v>396</v>
      </c>
      <c r="C23" s="135">
        <f>PyG!D31</f>
        <v>-28006.0373568</v>
      </c>
      <c r="D23" s="135">
        <f>PyG!E31+C23</f>
        <v>-20700.694172297037</v>
      </c>
      <c r="E23" s="135">
        <f>PyG!F31+D23</f>
        <v>237.56314107279468</v>
      </c>
      <c r="F23" s="135">
        <f>PyG!G31+E23</f>
        <v>33124.97065192713</v>
      </c>
      <c r="G23" s="135">
        <f>PyG!H31+F23</f>
        <v>66647.44305756188</v>
      </c>
      <c r="H23" s="135">
        <f>PyG!I31+G23</f>
        <v>101961.74565906244</v>
      </c>
      <c r="I23" s="135">
        <f>PyG!J31+H23</f>
        <v>151247.37166597182</v>
      </c>
      <c r="J23" s="135">
        <f>PyG!K31+I23</f>
        <v>200158.507552949</v>
      </c>
      <c r="K23" s="135">
        <f>PyG!L31+J23</f>
        <v>249069.6434399262</v>
      </c>
      <c r="L23" s="135">
        <f>PyG!M31+K23</f>
        <v>297980.7793269034</v>
      </c>
      <c r="M23" s="135">
        <f>PyG!N31+L23</f>
        <v>482915.2805525663</v>
      </c>
      <c r="N23" s="92"/>
      <c r="O23" s="92"/>
      <c r="P23" s="92"/>
      <c r="Q23" s="92"/>
      <c r="R23" s="92"/>
    </row>
    <row r="24" spans="1:18" ht="12.75">
      <c r="A24" s="59" t="s">
        <v>397</v>
      </c>
      <c r="C24" s="136">
        <f aca="true" t="shared" si="2" ref="C24:M24">SUM(C19:C23)</f>
        <v>183069.85004255731</v>
      </c>
      <c r="D24" s="136">
        <f t="shared" si="2"/>
        <v>190634.1612281141</v>
      </c>
      <c r="E24" s="136">
        <f t="shared" si="2"/>
        <v>211771.45349379786</v>
      </c>
      <c r="F24" s="136">
        <f t="shared" si="2"/>
        <v>244671.8332507455</v>
      </c>
      <c r="G24" s="136">
        <f t="shared" si="2"/>
        <v>278218.1199022721</v>
      </c>
      <c r="H24" s="136">
        <f t="shared" si="2"/>
        <v>313663.57572714245</v>
      </c>
      <c r="I24" s="136">
        <f t="shared" si="2"/>
        <v>362949.2017340518</v>
      </c>
      <c r="J24" s="136">
        <f t="shared" si="2"/>
        <v>411860.337621029</v>
      </c>
      <c r="K24" s="136">
        <f t="shared" si="2"/>
        <v>460771.4735080062</v>
      </c>
      <c r="L24" s="136">
        <f t="shared" si="2"/>
        <v>509682.6093949834</v>
      </c>
      <c r="M24" s="136">
        <f t="shared" si="2"/>
        <v>694617.1106206463</v>
      </c>
      <c r="N24" s="92"/>
      <c r="O24" s="92"/>
      <c r="P24" s="92"/>
      <c r="Q24" s="92"/>
      <c r="R24" s="92"/>
    </row>
    <row r="25" spans="2:18" ht="12.75"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92"/>
      <c r="O25" s="92"/>
      <c r="P25" s="92"/>
      <c r="Q25" s="92"/>
      <c r="R25" s="92"/>
    </row>
    <row r="26" spans="2:18" ht="12.75">
      <c r="B26" s="138">
        <f>SUM(C26:M26)</f>
        <v>0</v>
      </c>
      <c r="C26" s="92">
        <f aca="true" t="shared" si="3" ref="C26:M26">C24-C16</f>
        <v>0</v>
      </c>
      <c r="D26" s="92">
        <f t="shared" si="3"/>
        <v>0</v>
      </c>
      <c r="E26" s="92">
        <f t="shared" si="3"/>
        <v>0</v>
      </c>
      <c r="F26" s="92">
        <f t="shared" si="3"/>
        <v>0</v>
      </c>
      <c r="G26" s="92">
        <f t="shared" si="3"/>
        <v>0</v>
      </c>
      <c r="H26" s="92">
        <f t="shared" si="3"/>
        <v>0</v>
      </c>
      <c r="I26" s="92">
        <f t="shared" si="3"/>
        <v>0</v>
      </c>
      <c r="J26" s="92">
        <f t="shared" si="3"/>
        <v>0</v>
      </c>
      <c r="K26" s="92">
        <f t="shared" si="3"/>
        <v>0</v>
      </c>
      <c r="L26" s="92">
        <f t="shared" si="3"/>
        <v>0</v>
      </c>
      <c r="M26" s="92">
        <f t="shared" si="3"/>
        <v>0</v>
      </c>
      <c r="N26" s="92"/>
      <c r="O26" s="92"/>
      <c r="P26" s="92"/>
      <c r="Q26" s="92"/>
      <c r="R26" s="9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8">
      <selection activeCell="C40" sqref="C40"/>
    </sheetView>
  </sheetViews>
  <sheetFormatPr defaultColWidth="11.421875" defaultRowHeight="12.75"/>
  <sheetData>
    <row r="1" ht="12.75">
      <c r="A1" t="s">
        <v>232</v>
      </c>
    </row>
    <row r="2" ht="12.75">
      <c r="A2" t="s">
        <v>232</v>
      </c>
    </row>
    <row r="3" ht="12.75">
      <c r="A3" t="s">
        <v>232</v>
      </c>
    </row>
    <row r="4" ht="12.75">
      <c r="A4" t="s">
        <v>232</v>
      </c>
    </row>
    <row r="5" ht="12.75">
      <c r="A5" t="s">
        <v>232</v>
      </c>
    </row>
    <row r="6" ht="12.75">
      <c r="A6" t="s">
        <v>232</v>
      </c>
    </row>
    <row r="7" ht="12.75">
      <c r="A7" t="s">
        <v>232</v>
      </c>
    </row>
    <row r="8" ht="12.75">
      <c r="A8" t="s">
        <v>233</v>
      </c>
    </row>
    <row r="9" ht="12.75">
      <c r="A9" t="s">
        <v>233</v>
      </c>
    </row>
    <row r="10" ht="12.75">
      <c r="A10" t="s">
        <v>233</v>
      </c>
    </row>
    <row r="11" ht="12.75">
      <c r="A11" t="s">
        <v>233</v>
      </c>
    </row>
    <row r="12" ht="12.75">
      <c r="A12" t="s">
        <v>233</v>
      </c>
    </row>
    <row r="13" ht="12.75">
      <c r="A13" t="s">
        <v>233</v>
      </c>
    </row>
    <row r="14" ht="12.75">
      <c r="A14" t="s">
        <v>233</v>
      </c>
    </row>
    <row r="15" ht="12.75">
      <c r="A15" t="s">
        <v>233</v>
      </c>
    </row>
    <row r="16" spans="1:3" ht="12.75">
      <c r="A16" t="s">
        <v>233</v>
      </c>
      <c r="C16" t="s">
        <v>232</v>
      </c>
    </row>
    <row r="17" spans="1:3" ht="12.75">
      <c r="A17" t="s">
        <v>233</v>
      </c>
      <c r="C17" t="s">
        <v>232</v>
      </c>
    </row>
    <row r="18" spans="1:3" ht="12.75">
      <c r="A18" t="s">
        <v>233</v>
      </c>
      <c r="C18" t="s">
        <v>232</v>
      </c>
    </row>
    <row r="19" spans="1:3" ht="12.75">
      <c r="A19" t="s">
        <v>233</v>
      </c>
      <c r="C19" t="s">
        <v>232</v>
      </c>
    </row>
    <row r="20" spans="1:3" ht="12.75">
      <c r="A20" s="22" t="s">
        <v>234</v>
      </c>
      <c r="C20" t="s">
        <v>232</v>
      </c>
    </row>
    <row r="21" spans="1:3" ht="12.75">
      <c r="A21" s="22" t="s">
        <v>234</v>
      </c>
      <c r="C21" t="s">
        <v>232</v>
      </c>
    </row>
    <row r="22" spans="1:3" ht="12.75">
      <c r="A22" s="22" t="s">
        <v>234</v>
      </c>
      <c r="C22" t="s">
        <v>232</v>
      </c>
    </row>
    <row r="23" spans="1:3" ht="12.75">
      <c r="A23" s="22" t="s">
        <v>234</v>
      </c>
      <c r="C23" t="s">
        <v>233</v>
      </c>
    </row>
    <row r="24" spans="1:3" ht="12.75">
      <c r="A24" s="22" t="s">
        <v>234</v>
      </c>
      <c r="C24" t="s">
        <v>233</v>
      </c>
    </row>
    <row r="25" spans="1:3" ht="12.75">
      <c r="A25" s="22" t="s">
        <v>234</v>
      </c>
      <c r="C25" t="s">
        <v>233</v>
      </c>
    </row>
    <row r="26" spans="1:3" ht="12.75">
      <c r="A26" s="22" t="s">
        <v>234</v>
      </c>
      <c r="C26" t="s">
        <v>233</v>
      </c>
    </row>
    <row r="27" spans="1:3" ht="12.75">
      <c r="A27" s="22" t="s">
        <v>234</v>
      </c>
      <c r="C27" t="s">
        <v>233</v>
      </c>
    </row>
    <row r="28" spans="1:3" ht="12.75">
      <c r="A28" s="22" t="s">
        <v>234</v>
      </c>
      <c r="C28" t="s">
        <v>233</v>
      </c>
    </row>
    <row r="29" spans="1:3" ht="12.75">
      <c r="A29" s="22" t="s">
        <v>234</v>
      </c>
      <c r="C29" t="s">
        <v>233</v>
      </c>
    </row>
    <row r="30" spans="1:3" ht="12.75">
      <c r="A30" s="22" t="s">
        <v>234</v>
      </c>
      <c r="C30" t="s">
        <v>233</v>
      </c>
    </row>
    <row r="31" spans="1:3" ht="12.75">
      <c r="A31" s="22" t="s">
        <v>234</v>
      </c>
      <c r="C31" t="s">
        <v>233</v>
      </c>
    </row>
    <row r="32" spans="1:3" ht="12.75">
      <c r="A32" t="s">
        <v>235</v>
      </c>
      <c r="B32" t="s">
        <v>232</v>
      </c>
      <c r="C32" t="s">
        <v>233</v>
      </c>
    </row>
    <row r="33" spans="1:3" ht="12.75">
      <c r="A33" t="s">
        <v>235</v>
      </c>
      <c r="B33" t="s">
        <v>232</v>
      </c>
      <c r="C33" t="s">
        <v>233</v>
      </c>
    </row>
    <row r="34" spans="1:3" ht="12.75">
      <c r="A34" t="s">
        <v>235</v>
      </c>
      <c r="B34" t="s">
        <v>232</v>
      </c>
      <c r="C34" t="s">
        <v>233</v>
      </c>
    </row>
    <row r="35" spans="1:3" ht="12.75">
      <c r="A35" t="s">
        <v>235</v>
      </c>
      <c r="B35" t="s">
        <v>232</v>
      </c>
      <c r="C35" s="22" t="s">
        <v>234</v>
      </c>
    </row>
    <row r="36" spans="1:3" ht="12.75">
      <c r="A36" t="s">
        <v>235</v>
      </c>
      <c r="B36" t="s">
        <v>232</v>
      </c>
      <c r="C36" s="22" t="s">
        <v>234</v>
      </c>
    </row>
    <row r="37" spans="1:3" ht="12.75">
      <c r="A37" t="s">
        <v>235</v>
      </c>
      <c r="B37" t="s">
        <v>232</v>
      </c>
      <c r="C37" s="22" t="s">
        <v>234</v>
      </c>
    </row>
    <row r="38" spans="1:3" ht="12.75">
      <c r="A38" t="s">
        <v>235</v>
      </c>
      <c r="B38" t="s">
        <v>232</v>
      </c>
      <c r="C38" s="22" t="s">
        <v>234</v>
      </c>
    </row>
    <row r="39" spans="1:3" ht="12.75">
      <c r="A39" t="s">
        <v>235</v>
      </c>
      <c r="B39" t="s">
        <v>233</v>
      </c>
      <c r="C39" s="22" t="s">
        <v>234</v>
      </c>
    </row>
    <row r="40" spans="1:3" ht="12.75">
      <c r="A40" t="s">
        <v>235</v>
      </c>
      <c r="B40" t="s">
        <v>233</v>
      </c>
      <c r="C40" s="22" t="s">
        <v>234</v>
      </c>
    </row>
    <row r="41" spans="2:3" ht="12.75">
      <c r="B41" t="s">
        <v>233</v>
      </c>
      <c r="C41" s="22" t="s">
        <v>234</v>
      </c>
    </row>
    <row r="42" spans="2:3" ht="12.75">
      <c r="B42" t="s">
        <v>233</v>
      </c>
      <c r="C42" s="22" t="s">
        <v>234</v>
      </c>
    </row>
    <row r="43" spans="2:3" ht="12.75">
      <c r="B43" t="s">
        <v>233</v>
      </c>
      <c r="C43" s="22" t="s">
        <v>234</v>
      </c>
    </row>
    <row r="44" spans="2:3" ht="12.75">
      <c r="B44" t="s">
        <v>233</v>
      </c>
      <c r="C44" s="22" t="s">
        <v>234</v>
      </c>
    </row>
    <row r="45" spans="2:3" ht="12.75">
      <c r="B45" t="s">
        <v>233</v>
      </c>
      <c r="C45" s="22" t="s">
        <v>234</v>
      </c>
    </row>
    <row r="46" spans="2:3" ht="12.75">
      <c r="B46" t="s">
        <v>233</v>
      </c>
      <c r="C46" s="22" t="s">
        <v>234</v>
      </c>
    </row>
    <row r="47" spans="2:4" ht="12.75">
      <c r="B47" t="s">
        <v>233</v>
      </c>
      <c r="C47" t="s">
        <v>235</v>
      </c>
      <c r="D47" t="s">
        <v>232</v>
      </c>
    </row>
    <row r="48" spans="2:4" ht="12.75">
      <c r="B48" t="s">
        <v>233</v>
      </c>
      <c r="C48" t="s">
        <v>235</v>
      </c>
      <c r="D48" t="s">
        <v>232</v>
      </c>
    </row>
    <row r="49" spans="2:4" ht="12.75">
      <c r="B49" t="s">
        <v>233</v>
      </c>
      <c r="C49" t="s">
        <v>235</v>
      </c>
      <c r="D49" t="s">
        <v>232</v>
      </c>
    </row>
    <row r="50" spans="2:4" ht="12.75">
      <c r="B50" t="s">
        <v>233</v>
      </c>
      <c r="C50" t="s">
        <v>235</v>
      </c>
      <c r="D50" t="s">
        <v>232</v>
      </c>
    </row>
    <row r="51" spans="2:4" ht="12.75">
      <c r="B51" s="22" t="s">
        <v>234</v>
      </c>
      <c r="C51" t="s">
        <v>235</v>
      </c>
      <c r="D51" t="s">
        <v>232</v>
      </c>
    </row>
    <row r="52" spans="2:4" ht="12.75">
      <c r="B52" s="22" t="s">
        <v>234</v>
      </c>
      <c r="C52" t="s">
        <v>235</v>
      </c>
      <c r="D52" t="s">
        <v>232</v>
      </c>
    </row>
    <row r="53" spans="2:4" ht="12.75">
      <c r="B53" s="22" t="s">
        <v>234</v>
      </c>
      <c r="C53" t="s">
        <v>235</v>
      </c>
      <c r="D53" t="s">
        <v>232</v>
      </c>
    </row>
    <row r="54" spans="2:4" ht="12.75">
      <c r="B54" s="22" t="s">
        <v>234</v>
      </c>
      <c r="C54" t="s">
        <v>235</v>
      </c>
      <c r="D54" t="s">
        <v>233</v>
      </c>
    </row>
    <row r="55" spans="2:4" ht="12.75">
      <c r="B55" s="22" t="s">
        <v>234</v>
      </c>
      <c r="C55" t="s">
        <v>235</v>
      </c>
      <c r="D55" t="s">
        <v>233</v>
      </c>
    </row>
    <row r="56" spans="2:4" ht="12.75">
      <c r="B56" s="22" t="s">
        <v>234</v>
      </c>
      <c r="D56" t="s">
        <v>233</v>
      </c>
    </row>
    <row r="57" spans="2:4" ht="12.75">
      <c r="B57" s="22" t="s">
        <v>234</v>
      </c>
      <c r="D57" t="s">
        <v>233</v>
      </c>
    </row>
    <row r="58" spans="2:4" ht="12.75">
      <c r="B58" s="22" t="s">
        <v>234</v>
      </c>
      <c r="D58" t="s">
        <v>233</v>
      </c>
    </row>
    <row r="59" spans="2:4" ht="12.75">
      <c r="B59" s="22" t="s">
        <v>234</v>
      </c>
      <c r="D59" t="s">
        <v>233</v>
      </c>
    </row>
    <row r="60" spans="2:4" ht="12.75">
      <c r="B60" s="22" t="s">
        <v>234</v>
      </c>
      <c r="D60" t="s">
        <v>233</v>
      </c>
    </row>
    <row r="61" spans="2:4" ht="12.75">
      <c r="B61" s="22" t="s">
        <v>234</v>
      </c>
      <c r="D61" t="s">
        <v>233</v>
      </c>
    </row>
    <row r="62" spans="2:4" ht="12.75">
      <c r="B62" s="22" t="s">
        <v>234</v>
      </c>
      <c r="D62" t="s">
        <v>233</v>
      </c>
    </row>
    <row r="63" spans="2:4" ht="12.75">
      <c r="B63" t="s">
        <v>235</v>
      </c>
      <c r="D63" t="s">
        <v>233</v>
      </c>
    </row>
    <row r="64" spans="2:4" ht="12.75">
      <c r="B64" t="s">
        <v>235</v>
      </c>
      <c r="D64" t="s">
        <v>233</v>
      </c>
    </row>
    <row r="65" spans="2:4" ht="12.75">
      <c r="B65" t="s">
        <v>235</v>
      </c>
      <c r="D65" t="s">
        <v>233</v>
      </c>
    </row>
    <row r="66" spans="2:4" ht="12.75">
      <c r="B66" t="s">
        <v>235</v>
      </c>
      <c r="D66" s="22" t="s">
        <v>234</v>
      </c>
    </row>
    <row r="67" spans="2:4" ht="12.75">
      <c r="B67" t="s">
        <v>235</v>
      </c>
      <c r="D67" s="22" t="s">
        <v>234</v>
      </c>
    </row>
    <row r="68" spans="2:4" ht="12.75">
      <c r="B68" t="s">
        <v>235</v>
      </c>
      <c r="D68" s="22" t="s">
        <v>234</v>
      </c>
    </row>
    <row r="69" spans="2:4" ht="12.75">
      <c r="B69" t="s">
        <v>235</v>
      </c>
      <c r="D69" s="22" t="s">
        <v>234</v>
      </c>
    </row>
    <row r="70" spans="2:4" ht="12.75">
      <c r="B70" t="s">
        <v>235</v>
      </c>
      <c r="D70" s="22" t="s">
        <v>234</v>
      </c>
    </row>
    <row r="71" spans="2:4" ht="12.75">
      <c r="B71" t="s">
        <v>235</v>
      </c>
      <c r="D71" s="22" t="s">
        <v>234</v>
      </c>
    </row>
    <row r="72" ht="12.75">
      <c r="D72" s="22" t="s">
        <v>234</v>
      </c>
    </row>
    <row r="73" ht="12.75">
      <c r="D73" s="22" t="s">
        <v>234</v>
      </c>
    </row>
    <row r="74" ht="12.75">
      <c r="D74" s="22" t="s">
        <v>234</v>
      </c>
    </row>
    <row r="75" ht="12.75">
      <c r="D75" s="22" t="s">
        <v>234</v>
      </c>
    </row>
    <row r="76" ht="12.75">
      <c r="D76" s="22" t="s">
        <v>234</v>
      </c>
    </row>
    <row r="77" ht="12.75">
      <c r="D77" s="22" t="s">
        <v>234</v>
      </c>
    </row>
    <row r="78" ht="12.75">
      <c r="D78" t="s">
        <v>235</v>
      </c>
    </row>
    <row r="79" ht="12.75">
      <c r="D79" t="s">
        <v>235</v>
      </c>
    </row>
    <row r="80" ht="12.75">
      <c r="D80" t="s">
        <v>235</v>
      </c>
    </row>
    <row r="81" ht="12.75">
      <c r="D81" t="s">
        <v>235</v>
      </c>
    </row>
    <row r="82" ht="12.75">
      <c r="D82" t="s">
        <v>235</v>
      </c>
    </row>
    <row r="83" ht="12.75">
      <c r="D83" t="s">
        <v>235</v>
      </c>
    </row>
    <row r="84" ht="12.75">
      <c r="D84" t="s">
        <v>235</v>
      </c>
    </row>
    <row r="85" ht="12.75">
      <c r="D85" t="s">
        <v>235</v>
      </c>
    </row>
    <row r="86" ht="12.75">
      <c r="D86" t="s">
        <v>235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6"/>
  <sheetViews>
    <sheetView workbookViewId="0" topLeftCell="A1">
      <selection activeCell="B15" sqref="B15"/>
    </sheetView>
  </sheetViews>
  <sheetFormatPr defaultColWidth="11.421875" defaultRowHeight="12.75"/>
  <cols>
    <col min="1" max="1" width="29.8515625" style="0" customWidth="1"/>
    <col min="2" max="2" width="8.140625" style="0" customWidth="1"/>
    <col min="3" max="4" width="10.421875" style="25" customWidth="1"/>
    <col min="5" max="5" width="13.7109375" style="0" customWidth="1"/>
    <col min="6" max="6" width="12.421875" style="0" customWidth="1"/>
    <col min="9" max="9" width="12.8515625" style="0" customWidth="1"/>
    <col min="10" max="10" width="6.00390625" style="0" customWidth="1"/>
    <col min="11" max="11" width="9.140625" style="0" customWidth="1"/>
  </cols>
  <sheetData>
    <row r="1" ht="12.75"/>
    <row r="2" spans="10:11" ht="12.75">
      <c r="J2" t="s">
        <v>90</v>
      </c>
      <c r="K2" t="s">
        <v>91</v>
      </c>
    </row>
    <row r="3" spans="1:11" ht="12.75">
      <c r="A3" s="27" t="s">
        <v>76</v>
      </c>
      <c r="C3" s="30"/>
      <c r="J3">
        <v>1</v>
      </c>
      <c r="K3">
        <v>15</v>
      </c>
    </row>
    <row r="4" spans="1:11" ht="12.75">
      <c r="A4" s="2" t="s">
        <v>38</v>
      </c>
      <c r="B4">
        <v>200</v>
      </c>
      <c r="C4" s="30"/>
      <c r="J4">
        <v>2</v>
      </c>
      <c r="K4">
        <v>50</v>
      </c>
    </row>
    <row r="5" spans="1:11" ht="12.75">
      <c r="A5" s="2" t="s">
        <v>39</v>
      </c>
      <c r="B5">
        <v>15</v>
      </c>
      <c r="J5">
        <v>3</v>
      </c>
      <c r="K5">
        <v>60</v>
      </c>
    </row>
    <row r="6" spans="1:11" ht="12.75">
      <c r="A6" s="2" t="s">
        <v>36</v>
      </c>
      <c r="B6">
        <f>B4*B5</f>
        <v>3000</v>
      </c>
      <c r="J6">
        <v>4</v>
      </c>
      <c r="K6">
        <v>60</v>
      </c>
    </row>
    <row r="7" spans="1:11" ht="12.75">
      <c r="A7" s="27" t="s">
        <v>40</v>
      </c>
      <c r="J7">
        <v>5</v>
      </c>
      <c r="K7">
        <v>200</v>
      </c>
    </row>
    <row r="8" spans="1:11" ht="12.75">
      <c r="A8" s="27" t="s">
        <v>42</v>
      </c>
      <c r="J8">
        <v>6</v>
      </c>
      <c r="K8">
        <v>200</v>
      </c>
    </row>
    <row r="9" spans="1:11" ht="12.75">
      <c r="A9" t="s">
        <v>43</v>
      </c>
      <c r="B9" s="29">
        <v>4</v>
      </c>
      <c r="J9">
        <v>7</v>
      </c>
      <c r="K9">
        <v>100</v>
      </c>
    </row>
    <row r="10" spans="1:11" ht="12.75">
      <c r="A10" t="s">
        <v>44</v>
      </c>
      <c r="B10" s="29">
        <v>12</v>
      </c>
      <c r="J10">
        <v>8</v>
      </c>
      <c r="K10">
        <v>100</v>
      </c>
    </row>
    <row r="11" spans="1:11" ht="12.75">
      <c r="A11" t="s">
        <v>45</v>
      </c>
      <c r="B11" s="8">
        <v>1.8</v>
      </c>
      <c r="J11">
        <v>9</v>
      </c>
      <c r="K11">
        <v>25</v>
      </c>
    </row>
    <row r="12" spans="1:11" ht="12.75">
      <c r="A12" t="s">
        <v>89</v>
      </c>
      <c r="B12" s="38">
        <f>K15</f>
        <v>975</v>
      </c>
      <c r="G12" s="39"/>
      <c r="J12">
        <v>10</v>
      </c>
      <c r="K12">
        <v>75</v>
      </c>
    </row>
    <row r="13" spans="1:11" ht="12.75">
      <c r="A13" t="s">
        <v>46</v>
      </c>
      <c r="B13" s="31">
        <f>(((($B$10-$B$9)/2)+$B$9)*B11*B12)</f>
        <v>14040</v>
      </c>
      <c r="E13" s="39" t="s">
        <v>77</v>
      </c>
      <c r="J13">
        <v>11</v>
      </c>
      <c r="K13">
        <v>75</v>
      </c>
    </row>
    <row r="14" spans="1:11" ht="12.75">
      <c r="A14" t="s">
        <v>47</v>
      </c>
      <c r="B14">
        <v>1.2</v>
      </c>
      <c r="E14" t="s">
        <v>79</v>
      </c>
      <c r="H14">
        <v>9000</v>
      </c>
      <c r="J14">
        <v>12</v>
      </c>
      <c r="K14">
        <v>15</v>
      </c>
    </row>
    <row r="15" spans="1:11" ht="12.75">
      <c r="A15" s="2" t="s">
        <v>48</v>
      </c>
      <c r="B15" s="26">
        <f>B13*B14</f>
        <v>16848</v>
      </c>
      <c r="E15" t="s">
        <v>78</v>
      </c>
      <c r="H15" s="14">
        <v>0.08</v>
      </c>
      <c r="J15" t="s">
        <v>92</v>
      </c>
      <c r="K15">
        <f>SUM(K3:K14)</f>
        <v>975</v>
      </c>
    </row>
    <row r="16" spans="5:8" ht="12.75">
      <c r="E16" t="s">
        <v>80</v>
      </c>
      <c r="H16">
        <f>H15*H14</f>
        <v>720</v>
      </c>
    </row>
    <row r="17" spans="1:8" ht="12.75">
      <c r="A17" s="27" t="s">
        <v>49</v>
      </c>
      <c r="E17" t="s">
        <v>81</v>
      </c>
      <c r="H17">
        <f>'Rep.'!$B$22*'Rep.'!$B$20</f>
        <v>108</v>
      </c>
    </row>
    <row r="18" spans="1:8" ht="12.75">
      <c r="A18" t="s">
        <v>50</v>
      </c>
      <c r="B18">
        <v>5</v>
      </c>
      <c r="E18" t="s">
        <v>78</v>
      </c>
      <c r="H18" s="14">
        <v>7</v>
      </c>
    </row>
    <row r="19" spans="1:8" ht="12.75">
      <c r="A19" t="s">
        <v>96</v>
      </c>
      <c r="B19">
        <v>14</v>
      </c>
      <c r="E19" t="s">
        <v>80</v>
      </c>
      <c r="H19">
        <f>H17*H18</f>
        <v>756</v>
      </c>
    </row>
    <row r="20" spans="1:8" ht="12.75">
      <c r="A20" t="s">
        <v>51</v>
      </c>
      <c r="B20">
        <f>B19*B18</f>
        <v>70</v>
      </c>
      <c r="E20" t="s">
        <v>82</v>
      </c>
      <c r="H20">
        <f>H16+H19</f>
        <v>1476</v>
      </c>
    </row>
    <row r="21" spans="1:8" ht="12.75">
      <c r="A21" t="s">
        <v>52</v>
      </c>
      <c r="B21" s="17">
        <f>ROUNDUP(B20/6,0)</f>
        <v>12</v>
      </c>
      <c r="E21" t="s">
        <v>85</v>
      </c>
      <c r="H21" s="14">
        <f>6/24</f>
        <v>0.25</v>
      </c>
    </row>
    <row r="22" spans="1:8" ht="12.75">
      <c r="A22" t="s">
        <v>53</v>
      </c>
      <c r="B22">
        <f>B18</f>
        <v>5</v>
      </c>
      <c r="E22" s="2" t="s">
        <v>87</v>
      </c>
      <c r="H22" s="37">
        <f>H20*(1+H21)</f>
        <v>1845</v>
      </c>
    </row>
    <row r="23" spans="1:8" ht="12.75">
      <c r="A23" t="s">
        <v>54</v>
      </c>
      <c r="B23" s="29">
        <v>430</v>
      </c>
      <c r="D23" s="32"/>
      <c r="E23" t="s">
        <v>83</v>
      </c>
      <c r="H23">
        <v>60</v>
      </c>
    </row>
    <row r="24" spans="1:8" ht="12.75">
      <c r="A24" t="s">
        <v>55</v>
      </c>
      <c r="B24" s="29">
        <v>138.9</v>
      </c>
      <c r="D24" s="29"/>
      <c r="E24" t="s">
        <v>39</v>
      </c>
      <c r="H24">
        <v>25</v>
      </c>
    </row>
    <row r="25" spans="1:8" ht="12.75">
      <c r="A25" s="2" t="s">
        <v>56</v>
      </c>
      <c r="B25" s="26">
        <f>B21*B23+B22*B24</f>
        <v>5854.5</v>
      </c>
      <c r="D25" s="33"/>
      <c r="E25" t="s">
        <v>36</v>
      </c>
      <c r="H25">
        <f>H23*H24</f>
        <v>1500</v>
      </c>
    </row>
    <row r="26" spans="1:8" ht="12.75">
      <c r="A26" s="27" t="s">
        <v>95</v>
      </c>
      <c r="E26" t="s">
        <v>84</v>
      </c>
      <c r="H26">
        <v>1.2</v>
      </c>
    </row>
    <row r="27" spans="1:8" ht="12.75">
      <c r="A27" t="s">
        <v>50</v>
      </c>
      <c r="B27">
        <v>5</v>
      </c>
      <c r="E27" s="2" t="s">
        <v>88</v>
      </c>
      <c r="H27" s="22">
        <f>H25*H26</f>
        <v>1800</v>
      </c>
    </row>
    <row r="28" spans="1:5" ht="12.75">
      <c r="A28" t="s">
        <v>96</v>
      </c>
      <c r="B28">
        <v>5</v>
      </c>
      <c r="E28" s="39" t="s">
        <v>86</v>
      </c>
    </row>
    <row r="29" spans="1:8" ht="12.75">
      <c r="A29" t="s">
        <v>51</v>
      </c>
      <c r="B29">
        <f>B28*B27</f>
        <v>25</v>
      </c>
      <c r="E29" t="s">
        <v>81</v>
      </c>
      <c r="H29">
        <f>'Rep.'!$B$22*'Rep.'!$B$20</f>
        <v>108</v>
      </c>
    </row>
    <row r="30" spans="1:8" ht="12.75">
      <c r="A30" t="s">
        <v>52</v>
      </c>
      <c r="B30" s="17">
        <f>ROUNDUP(B29/6,0)</f>
        <v>5</v>
      </c>
      <c r="E30" t="s">
        <v>78</v>
      </c>
      <c r="H30" s="14">
        <v>7</v>
      </c>
    </row>
    <row r="31" spans="1:8" ht="12.75">
      <c r="A31" t="s">
        <v>53</v>
      </c>
      <c r="B31">
        <f>B27</f>
        <v>5</v>
      </c>
      <c r="E31" s="2" t="s">
        <v>80</v>
      </c>
      <c r="H31" s="22">
        <f>H29*H30</f>
        <v>756</v>
      </c>
    </row>
    <row r="32" spans="1:8" ht="12.75">
      <c r="A32" t="s">
        <v>54</v>
      </c>
      <c r="B32" s="29">
        <v>430</v>
      </c>
      <c r="D32" s="21"/>
      <c r="E32" t="s">
        <v>83</v>
      </c>
      <c r="H32">
        <v>50</v>
      </c>
    </row>
    <row r="33" spans="1:8" ht="12.75">
      <c r="A33" t="s">
        <v>55</v>
      </c>
      <c r="B33" s="29">
        <v>138.9</v>
      </c>
      <c r="E33" t="s">
        <v>39</v>
      </c>
      <c r="H33">
        <v>15</v>
      </c>
    </row>
    <row r="34" spans="1:8" ht="12.75">
      <c r="A34" s="2" t="s">
        <v>98</v>
      </c>
      <c r="B34" s="26">
        <f>B30*B32+B31*B33</f>
        <v>2844.5</v>
      </c>
      <c r="D34" s="34"/>
      <c r="E34" t="s">
        <v>36</v>
      </c>
      <c r="H34">
        <f>H32*H33</f>
        <v>750</v>
      </c>
    </row>
    <row r="35" spans="1:8" ht="12.75">
      <c r="A35" s="2"/>
      <c r="B35" s="26"/>
      <c r="E35" t="s">
        <v>84</v>
      </c>
      <c r="H35">
        <v>1.2</v>
      </c>
    </row>
    <row r="36" spans="1:8" ht="12.75">
      <c r="A36" s="27" t="s">
        <v>99</v>
      </c>
      <c r="B36" s="26"/>
      <c r="E36" s="2" t="s">
        <v>88</v>
      </c>
      <c r="H36" s="22">
        <f>H34*H35</f>
        <v>900</v>
      </c>
    </row>
    <row r="37" spans="1:2" ht="12.75">
      <c r="A37" s="28" t="s">
        <v>100</v>
      </c>
      <c r="B37" s="26">
        <f>H22</f>
        <v>1845</v>
      </c>
    </row>
    <row r="38" spans="1:2" ht="12.75">
      <c r="A38" s="28" t="s">
        <v>101</v>
      </c>
      <c r="B38" s="26">
        <v>12</v>
      </c>
    </row>
    <row r="39" spans="1:2" ht="12.75">
      <c r="A39" s="28" t="s">
        <v>102</v>
      </c>
      <c r="B39" s="26">
        <f>B37*1000/(B38*3600)</f>
        <v>42.708333333333336</v>
      </c>
    </row>
    <row r="40" spans="1:2" ht="12.75">
      <c r="A40" s="28" t="s">
        <v>167</v>
      </c>
      <c r="B40" s="26">
        <f>(B39/4)*60</f>
        <v>640.625</v>
      </c>
    </row>
    <row r="41" spans="1:2" ht="12.75">
      <c r="A41" s="28" t="s">
        <v>103</v>
      </c>
      <c r="B41">
        <v>2</v>
      </c>
    </row>
    <row r="42" spans="1:2" ht="12.75">
      <c r="A42" s="28" t="s">
        <v>104</v>
      </c>
      <c r="B42">
        <v>2</v>
      </c>
    </row>
    <row r="43" spans="1:2" ht="12.75">
      <c r="A43" s="28" t="s">
        <v>105</v>
      </c>
      <c r="B43" s="41">
        <v>1200</v>
      </c>
    </row>
    <row r="44" spans="1:2" ht="12.75">
      <c r="A44" s="28" t="s">
        <v>106</v>
      </c>
      <c r="B44" s="41">
        <v>2000</v>
      </c>
    </row>
    <row r="45" spans="1:2" ht="12.75">
      <c r="A45" s="28" t="s">
        <v>107</v>
      </c>
      <c r="B45" s="26">
        <f>B43*B41+B44*B42</f>
        <v>6400</v>
      </c>
    </row>
    <row r="63" ht="12.75">
      <c r="C63" s="25" t="s">
        <v>61</v>
      </c>
    </row>
    <row r="66" ht="12.75">
      <c r="C66" s="25" t="s">
        <v>61</v>
      </c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6"/>
  <sheetViews>
    <sheetView workbookViewId="0" topLeftCell="A1">
      <selection activeCell="B33" sqref="B33"/>
    </sheetView>
  </sheetViews>
  <sheetFormatPr defaultColWidth="11.421875" defaultRowHeight="12.75"/>
  <cols>
    <col min="1" max="1" width="44.421875" style="0" customWidth="1"/>
    <col min="2" max="2" width="12.8515625" style="0" bestFit="1" customWidth="1"/>
    <col min="6" max="86" width="2.7109375" style="0" customWidth="1"/>
    <col min="87" max="16384" width="5.7109375" style="0" customWidth="1"/>
  </cols>
  <sheetData>
    <row r="1" ht="12.75">
      <c r="A1" s="2" t="s">
        <v>18</v>
      </c>
    </row>
    <row r="2" spans="1:8" ht="12.75">
      <c r="A2" s="20" t="s">
        <v>19</v>
      </c>
      <c r="H2" t="s">
        <v>66</v>
      </c>
    </row>
    <row r="3" spans="1:2" ht="12.75">
      <c r="A3" s="20" t="s">
        <v>236</v>
      </c>
      <c r="B3">
        <v>7</v>
      </c>
    </row>
    <row r="4" spans="1:2" ht="12.75">
      <c r="A4" s="20" t="s">
        <v>237</v>
      </c>
      <c r="B4">
        <v>12</v>
      </c>
    </row>
    <row r="5" spans="1:2" ht="12.75">
      <c r="A5" s="83" t="s">
        <v>238</v>
      </c>
      <c r="B5">
        <v>12</v>
      </c>
    </row>
    <row r="6" spans="1:2" ht="12.75">
      <c r="A6" s="20" t="s">
        <v>239</v>
      </c>
      <c r="B6">
        <v>9</v>
      </c>
    </row>
    <row r="7" spans="1:2" ht="12.75">
      <c r="A7" s="20" t="s">
        <v>67</v>
      </c>
      <c r="B7">
        <f>SUM(B3:B5)</f>
        <v>31</v>
      </c>
    </row>
    <row r="8" spans="1:45" ht="12.75">
      <c r="A8" s="20" t="s">
        <v>22</v>
      </c>
      <c r="B8" s="16">
        <v>0.75</v>
      </c>
      <c r="C8">
        <f>B8*10000</f>
        <v>7500</v>
      </c>
      <c r="M8">
        <v>1</v>
      </c>
      <c r="N8">
        <v>2</v>
      </c>
      <c r="O8">
        <v>3</v>
      </c>
      <c r="P8">
        <v>4</v>
      </c>
      <c r="Q8">
        <v>5</v>
      </c>
      <c r="R8">
        <v>6</v>
      </c>
      <c r="S8">
        <v>7</v>
      </c>
      <c r="T8">
        <v>8</v>
      </c>
      <c r="U8">
        <v>9</v>
      </c>
      <c r="V8">
        <v>10</v>
      </c>
      <c r="W8">
        <v>11</v>
      </c>
      <c r="X8">
        <v>12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13</v>
      </c>
      <c r="AL8">
        <v>14</v>
      </c>
      <c r="AM8">
        <v>15</v>
      </c>
      <c r="AN8">
        <v>16</v>
      </c>
      <c r="AO8">
        <v>17</v>
      </c>
      <c r="AP8">
        <v>18</v>
      </c>
      <c r="AQ8">
        <v>19</v>
      </c>
      <c r="AR8">
        <v>20</v>
      </c>
      <c r="AS8">
        <v>21</v>
      </c>
    </row>
    <row r="9" spans="1:254" ht="12.75">
      <c r="A9" s="20" t="s">
        <v>21</v>
      </c>
      <c r="B9" s="19" t="s">
        <v>23</v>
      </c>
      <c r="D9" t="s">
        <v>64</v>
      </c>
      <c r="E9" t="s">
        <v>65</v>
      </c>
      <c r="F9">
        <v>1</v>
      </c>
      <c r="G9">
        <v>2</v>
      </c>
      <c r="H9">
        <v>3</v>
      </c>
      <c r="I9">
        <v>4</v>
      </c>
      <c r="J9">
        <v>5</v>
      </c>
      <c r="K9">
        <v>6</v>
      </c>
      <c r="L9">
        <v>7</v>
      </c>
      <c r="M9">
        <v>8</v>
      </c>
      <c r="N9">
        <f>M9+1</f>
        <v>9</v>
      </c>
      <c r="O9">
        <f aca="true" t="shared" si="0" ref="O9:BZ9">N9+1</f>
        <v>10</v>
      </c>
      <c r="P9">
        <f t="shared" si="0"/>
        <v>11</v>
      </c>
      <c r="Q9">
        <f t="shared" si="0"/>
        <v>12</v>
      </c>
      <c r="R9">
        <f t="shared" si="0"/>
        <v>13</v>
      </c>
      <c r="S9">
        <f t="shared" si="0"/>
        <v>14</v>
      </c>
      <c r="T9">
        <f t="shared" si="0"/>
        <v>15</v>
      </c>
      <c r="U9">
        <f t="shared" si="0"/>
        <v>16</v>
      </c>
      <c r="V9">
        <f t="shared" si="0"/>
        <v>17</v>
      </c>
      <c r="W9">
        <f t="shared" si="0"/>
        <v>18</v>
      </c>
      <c r="X9">
        <f t="shared" si="0"/>
        <v>19</v>
      </c>
      <c r="Y9">
        <f t="shared" si="0"/>
        <v>20</v>
      </c>
      <c r="Z9">
        <f t="shared" si="0"/>
        <v>21</v>
      </c>
      <c r="AA9">
        <f t="shared" si="0"/>
        <v>22</v>
      </c>
      <c r="AB9">
        <f t="shared" si="0"/>
        <v>23</v>
      </c>
      <c r="AC9">
        <f t="shared" si="0"/>
        <v>24</v>
      </c>
      <c r="AD9">
        <f t="shared" si="0"/>
        <v>25</v>
      </c>
      <c r="AE9">
        <f t="shared" si="0"/>
        <v>26</v>
      </c>
      <c r="AF9">
        <f t="shared" si="0"/>
        <v>27</v>
      </c>
      <c r="AG9">
        <f t="shared" si="0"/>
        <v>28</v>
      </c>
      <c r="AH9">
        <f t="shared" si="0"/>
        <v>29</v>
      </c>
      <c r="AI9">
        <f t="shared" si="0"/>
        <v>30</v>
      </c>
      <c r="AJ9">
        <f t="shared" si="0"/>
        <v>31</v>
      </c>
      <c r="AK9">
        <f t="shared" si="0"/>
        <v>32</v>
      </c>
      <c r="AL9">
        <f t="shared" si="0"/>
        <v>33</v>
      </c>
      <c r="AM9">
        <f t="shared" si="0"/>
        <v>34</v>
      </c>
      <c r="AN9">
        <f t="shared" si="0"/>
        <v>35</v>
      </c>
      <c r="AO9">
        <f t="shared" si="0"/>
        <v>36</v>
      </c>
      <c r="AP9">
        <f t="shared" si="0"/>
        <v>37</v>
      </c>
      <c r="AQ9">
        <f t="shared" si="0"/>
        <v>38</v>
      </c>
      <c r="AR9">
        <f t="shared" si="0"/>
        <v>39</v>
      </c>
      <c r="AS9">
        <f t="shared" si="0"/>
        <v>40</v>
      </c>
      <c r="AT9">
        <v>1</v>
      </c>
      <c r="AU9">
        <f t="shared" si="0"/>
        <v>2</v>
      </c>
      <c r="AV9">
        <f t="shared" si="0"/>
        <v>3</v>
      </c>
      <c r="AW9">
        <f t="shared" si="0"/>
        <v>4</v>
      </c>
      <c r="AX9">
        <f t="shared" si="0"/>
        <v>5</v>
      </c>
      <c r="AY9">
        <f t="shared" si="0"/>
        <v>6</v>
      </c>
      <c r="AZ9">
        <f t="shared" si="0"/>
        <v>7</v>
      </c>
      <c r="BA9">
        <f t="shared" si="0"/>
        <v>8</v>
      </c>
      <c r="BB9">
        <f t="shared" si="0"/>
        <v>9</v>
      </c>
      <c r="BC9">
        <f t="shared" si="0"/>
        <v>10</v>
      </c>
      <c r="BD9">
        <f t="shared" si="0"/>
        <v>11</v>
      </c>
      <c r="BE9">
        <f t="shared" si="0"/>
        <v>12</v>
      </c>
      <c r="BF9">
        <f t="shared" si="0"/>
        <v>13</v>
      </c>
      <c r="BG9">
        <f t="shared" si="0"/>
        <v>14</v>
      </c>
      <c r="BH9">
        <f t="shared" si="0"/>
        <v>15</v>
      </c>
      <c r="BI9">
        <f t="shared" si="0"/>
        <v>16</v>
      </c>
      <c r="BJ9">
        <f t="shared" si="0"/>
        <v>17</v>
      </c>
      <c r="BK9">
        <f t="shared" si="0"/>
        <v>18</v>
      </c>
      <c r="BL9">
        <f t="shared" si="0"/>
        <v>19</v>
      </c>
      <c r="BM9">
        <f t="shared" si="0"/>
        <v>20</v>
      </c>
      <c r="BN9">
        <f t="shared" si="0"/>
        <v>21</v>
      </c>
      <c r="BO9">
        <f t="shared" si="0"/>
        <v>22</v>
      </c>
      <c r="BP9">
        <f t="shared" si="0"/>
        <v>23</v>
      </c>
      <c r="BQ9">
        <f t="shared" si="0"/>
        <v>24</v>
      </c>
      <c r="BR9">
        <f t="shared" si="0"/>
        <v>25</v>
      </c>
      <c r="BS9">
        <f t="shared" si="0"/>
        <v>26</v>
      </c>
      <c r="BT9">
        <f t="shared" si="0"/>
        <v>27</v>
      </c>
      <c r="BU9">
        <f t="shared" si="0"/>
        <v>28</v>
      </c>
      <c r="BV9">
        <f t="shared" si="0"/>
        <v>29</v>
      </c>
      <c r="BW9">
        <f t="shared" si="0"/>
        <v>30</v>
      </c>
      <c r="BX9">
        <f t="shared" si="0"/>
        <v>31</v>
      </c>
      <c r="BY9">
        <f t="shared" si="0"/>
        <v>32</v>
      </c>
      <c r="BZ9">
        <f t="shared" si="0"/>
        <v>33</v>
      </c>
      <c r="CA9">
        <f aca="true" t="shared" si="1" ref="CA9:EL9">BZ9+1</f>
        <v>34</v>
      </c>
      <c r="CB9">
        <f t="shared" si="1"/>
        <v>35</v>
      </c>
      <c r="CC9">
        <f t="shared" si="1"/>
        <v>36</v>
      </c>
      <c r="CD9">
        <f t="shared" si="1"/>
        <v>37</v>
      </c>
      <c r="CE9">
        <f t="shared" si="1"/>
        <v>38</v>
      </c>
      <c r="CF9">
        <f t="shared" si="1"/>
        <v>39</v>
      </c>
      <c r="CG9">
        <f t="shared" si="1"/>
        <v>40</v>
      </c>
      <c r="CH9">
        <f t="shared" si="1"/>
        <v>41</v>
      </c>
      <c r="CI9">
        <f t="shared" si="1"/>
        <v>42</v>
      </c>
      <c r="CJ9">
        <f t="shared" si="1"/>
        <v>43</v>
      </c>
      <c r="CK9">
        <f t="shared" si="1"/>
        <v>44</v>
      </c>
      <c r="CL9">
        <f t="shared" si="1"/>
        <v>45</v>
      </c>
      <c r="CM9">
        <f t="shared" si="1"/>
        <v>46</v>
      </c>
      <c r="CN9">
        <f t="shared" si="1"/>
        <v>47</v>
      </c>
      <c r="CO9">
        <f t="shared" si="1"/>
        <v>48</v>
      </c>
      <c r="CP9">
        <f t="shared" si="1"/>
        <v>49</v>
      </c>
      <c r="CQ9">
        <f t="shared" si="1"/>
        <v>50</v>
      </c>
      <c r="CR9">
        <f t="shared" si="1"/>
        <v>51</v>
      </c>
      <c r="CS9">
        <f t="shared" si="1"/>
        <v>52</v>
      </c>
      <c r="CT9">
        <f t="shared" si="1"/>
        <v>53</v>
      </c>
      <c r="CU9">
        <f t="shared" si="1"/>
        <v>54</v>
      </c>
      <c r="CV9">
        <f t="shared" si="1"/>
        <v>55</v>
      </c>
      <c r="CW9">
        <f t="shared" si="1"/>
        <v>56</v>
      </c>
      <c r="CX9">
        <f t="shared" si="1"/>
        <v>57</v>
      </c>
      <c r="CY9">
        <f t="shared" si="1"/>
        <v>58</v>
      </c>
      <c r="CZ9">
        <f t="shared" si="1"/>
        <v>59</v>
      </c>
      <c r="DA9">
        <f t="shared" si="1"/>
        <v>60</v>
      </c>
      <c r="DB9">
        <f t="shared" si="1"/>
        <v>61</v>
      </c>
      <c r="DC9">
        <f t="shared" si="1"/>
        <v>62</v>
      </c>
      <c r="DD9">
        <f t="shared" si="1"/>
        <v>63</v>
      </c>
      <c r="DE9">
        <f t="shared" si="1"/>
        <v>64</v>
      </c>
      <c r="DF9">
        <f t="shared" si="1"/>
        <v>65</v>
      </c>
      <c r="DG9">
        <f t="shared" si="1"/>
        <v>66</v>
      </c>
      <c r="DH9">
        <f t="shared" si="1"/>
        <v>67</v>
      </c>
      <c r="DI9">
        <f t="shared" si="1"/>
        <v>68</v>
      </c>
      <c r="DJ9">
        <f t="shared" si="1"/>
        <v>69</v>
      </c>
      <c r="DK9">
        <f t="shared" si="1"/>
        <v>70</v>
      </c>
      <c r="DL9">
        <f t="shared" si="1"/>
        <v>71</v>
      </c>
      <c r="DM9">
        <f t="shared" si="1"/>
        <v>72</v>
      </c>
      <c r="DN9">
        <f t="shared" si="1"/>
        <v>73</v>
      </c>
      <c r="DO9">
        <f t="shared" si="1"/>
        <v>74</v>
      </c>
      <c r="DP9">
        <f t="shared" si="1"/>
        <v>75</v>
      </c>
      <c r="DQ9">
        <f t="shared" si="1"/>
        <v>76</v>
      </c>
      <c r="DR9">
        <f t="shared" si="1"/>
        <v>77</v>
      </c>
      <c r="DS9">
        <f t="shared" si="1"/>
        <v>78</v>
      </c>
      <c r="DT9">
        <f t="shared" si="1"/>
        <v>79</v>
      </c>
      <c r="DU9">
        <f t="shared" si="1"/>
        <v>80</v>
      </c>
      <c r="DV9">
        <f t="shared" si="1"/>
        <v>81</v>
      </c>
      <c r="DW9">
        <f t="shared" si="1"/>
        <v>82</v>
      </c>
      <c r="DX9">
        <f t="shared" si="1"/>
        <v>83</v>
      </c>
      <c r="DY9">
        <f t="shared" si="1"/>
        <v>84</v>
      </c>
      <c r="DZ9">
        <f t="shared" si="1"/>
        <v>85</v>
      </c>
      <c r="EA9">
        <f t="shared" si="1"/>
        <v>86</v>
      </c>
      <c r="EB9">
        <f t="shared" si="1"/>
        <v>87</v>
      </c>
      <c r="EC9">
        <f t="shared" si="1"/>
        <v>88</v>
      </c>
      <c r="ED9">
        <f t="shared" si="1"/>
        <v>89</v>
      </c>
      <c r="EE9">
        <f t="shared" si="1"/>
        <v>90</v>
      </c>
      <c r="EF9">
        <f t="shared" si="1"/>
        <v>91</v>
      </c>
      <c r="EG9">
        <f t="shared" si="1"/>
        <v>92</v>
      </c>
      <c r="EH9">
        <f t="shared" si="1"/>
        <v>93</v>
      </c>
      <c r="EI9">
        <f t="shared" si="1"/>
        <v>94</v>
      </c>
      <c r="EJ9">
        <f t="shared" si="1"/>
        <v>95</v>
      </c>
      <c r="EK9">
        <f t="shared" si="1"/>
        <v>96</v>
      </c>
      <c r="EL9">
        <f t="shared" si="1"/>
        <v>97</v>
      </c>
      <c r="EM9">
        <f aca="true" t="shared" si="2" ref="EM9:GX9">EL9+1</f>
        <v>98</v>
      </c>
      <c r="EN9">
        <f t="shared" si="2"/>
        <v>99</v>
      </c>
      <c r="EO9">
        <f t="shared" si="2"/>
        <v>100</v>
      </c>
      <c r="EP9">
        <f t="shared" si="2"/>
        <v>101</v>
      </c>
      <c r="EQ9">
        <f t="shared" si="2"/>
        <v>102</v>
      </c>
      <c r="ER9">
        <f t="shared" si="2"/>
        <v>103</v>
      </c>
      <c r="ES9">
        <f t="shared" si="2"/>
        <v>104</v>
      </c>
      <c r="ET9">
        <f t="shared" si="2"/>
        <v>105</v>
      </c>
      <c r="EU9">
        <f t="shared" si="2"/>
        <v>106</v>
      </c>
      <c r="EV9">
        <f t="shared" si="2"/>
        <v>107</v>
      </c>
      <c r="EW9">
        <f t="shared" si="2"/>
        <v>108</v>
      </c>
      <c r="EX9">
        <f t="shared" si="2"/>
        <v>109</v>
      </c>
      <c r="EY9">
        <f t="shared" si="2"/>
        <v>110</v>
      </c>
      <c r="EZ9">
        <f t="shared" si="2"/>
        <v>111</v>
      </c>
      <c r="FA9">
        <f t="shared" si="2"/>
        <v>112</v>
      </c>
      <c r="FB9">
        <f t="shared" si="2"/>
        <v>113</v>
      </c>
      <c r="FC9">
        <f t="shared" si="2"/>
        <v>114</v>
      </c>
      <c r="FD9">
        <f t="shared" si="2"/>
        <v>115</v>
      </c>
      <c r="FE9">
        <f t="shared" si="2"/>
        <v>116</v>
      </c>
      <c r="FF9">
        <f t="shared" si="2"/>
        <v>117</v>
      </c>
      <c r="FG9">
        <f t="shared" si="2"/>
        <v>118</v>
      </c>
      <c r="FH9">
        <f t="shared" si="2"/>
        <v>119</v>
      </c>
      <c r="FI9">
        <f t="shared" si="2"/>
        <v>120</v>
      </c>
      <c r="FJ9">
        <f t="shared" si="2"/>
        <v>121</v>
      </c>
      <c r="FK9">
        <f t="shared" si="2"/>
        <v>122</v>
      </c>
      <c r="FL9">
        <f t="shared" si="2"/>
        <v>123</v>
      </c>
      <c r="FM9">
        <f t="shared" si="2"/>
        <v>124</v>
      </c>
      <c r="FN9">
        <f t="shared" si="2"/>
        <v>125</v>
      </c>
      <c r="FO9">
        <f t="shared" si="2"/>
        <v>126</v>
      </c>
      <c r="FP9">
        <f t="shared" si="2"/>
        <v>127</v>
      </c>
      <c r="FQ9">
        <f t="shared" si="2"/>
        <v>128</v>
      </c>
      <c r="FR9">
        <f t="shared" si="2"/>
        <v>129</v>
      </c>
      <c r="FS9">
        <f t="shared" si="2"/>
        <v>130</v>
      </c>
      <c r="FT9">
        <f t="shared" si="2"/>
        <v>131</v>
      </c>
      <c r="FU9">
        <f t="shared" si="2"/>
        <v>132</v>
      </c>
      <c r="FV9">
        <f t="shared" si="2"/>
        <v>133</v>
      </c>
      <c r="FW9">
        <f t="shared" si="2"/>
        <v>134</v>
      </c>
      <c r="FX9">
        <f t="shared" si="2"/>
        <v>135</v>
      </c>
      <c r="FY9">
        <f t="shared" si="2"/>
        <v>136</v>
      </c>
      <c r="FZ9">
        <f t="shared" si="2"/>
        <v>137</v>
      </c>
      <c r="GA9">
        <f t="shared" si="2"/>
        <v>138</v>
      </c>
      <c r="GB9">
        <f t="shared" si="2"/>
        <v>139</v>
      </c>
      <c r="GC9">
        <f t="shared" si="2"/>
        <v>140</v>
      </c>
      <c r="GD9">
        <f t="shared" si="2"/>
        <v>141</v>
      </c>
      <c r="GE9">
        <f t="shared" si="2"/>
        <v>142</v>
      </c>
      <c r="GF9">
        <f t="shared" si="2"/>
        <v>143</v>
      </c>
      <c r="GG9">
        <f t="shared" si="2"/>
        <v>144</v>
      </c>
      <c r="GH9">
        <f t="shared" si="2"/>
        <v>145</v>
      </c>
      <c r="GI9">
        <f t="shared" si="2"/>
        <v>146</v>
      </c>
      <c r="GJ9">
        <f t="shared" si="2"/>
        <v>147</v>
      </c>
      <c r="GK9">
        <f t="shared" si="2"/>
        <v>148</v>
      </c>
      <c r="GL9">
        <f t="shared" si="2"/>
        <v>149</v>
      </c>
      <c r="GM9">
        <f t="shared" si="2"/>
        <v>150</v>
      </c>
      <c r="GN9">
        <f t="shared" si="2"/>
        <v>151</v>
      </c>
      <c r="GO9">
        <f t="shared" si="2"/>
        <v>152</v>
      </c>
      <c r="GP9">
        <f t="shared" si="2"/>
        <v>153</v>
      </c>
      <c r="GQ9">
        <f t="shared" si="2"/>
        <v>154</v>
      </c>
      <c r="GR9">
        <f t="shared" si="2"/>
        <v>155</v>
      </c>
      <c r="GS9">
        <f t="shared" si="2"/>
        <v>156</v>
      </c>
      <c r="GT9">
        <f t="shared" si="2"/>
        <v>157</v>
      </c>
      <c r="GU9">
        <f t="shared" si="2"/>
        <v>158</v>
      </c>
      <c r="GV9">
        <f t="shared" si="2"/>
        <v>159</v>
      </c>
      <c r="GW9">
        <f t="shared" si="2"/>
        <v>160</v>
      </c>
      <c r="GX9">
        <f t="shared" si="2"/>
        <v>161</v>
      </c>
      <c r="GY9">
        <f aca="true" t="shared" si="3" ref="GY9:IT9">GX9+1</f>
        <v>162</v>
      </c>
      <c r="GZ9">
        <f t="shared" si="3"/>
        <v>163</v>
      </c>
      <c r="HA9">
        <f t="shared" si="3"/>
        <v>164</v>
      </c>
      <c r="HB9">
        <f t="shared" si="3"/>
        <v>165</v>
      </c>
      <c r="HC9">
        <f t="shared" si="3"/>
        <v>166</v>
      </c>
      <c r="HD9">
        <f t="shared" si="3"/>
        <v>167</v>
      </c>
      <c r="HE9">
        <f t="shared" si="3"/>
        <v>168</v>
      </c>
      <c r="HF9">
        <f t="shared" si="3"/>
        <v>169</v>
      </c>
      <c r="HG9">
        <f t="shared" si="3"/>
        <v>170</v>
      </c>
      <c r="HH9">
        <f t="shared" si="3"/>
        <v>171</v>
      </c>
      <c r="HI9">
        <f t="shared" si="3"/>
        <v>172</v>
      </c>
      <c r="HJ9">
        <f t="shared" si="3"/>
        <v>173</v>
      </c>
      <c r="HK9">
        <f t="shared" si="3"/>
        <v>174</v>
      </c>
      <c r="HL9">
        <f t="shared" si="3"/>
        <v>175</v>
      </c>
      <c r="HM9">
        <f t="shared" si="3"/>
        <v>176</v>
      </c>
      <c r="HN9">
        <f t="shared" si="3"/>
        <v>177</v>
      </c>
      <c r="HO9">
        <f t="shared" si="3"/>
        <v>178</v>
      </c>
      <c r="HP9">
        <f t="shared" si="3"/>
        <v>179</v>
      </c>
      <c r="HQ9">
        <f t="shared" si="3"/>
        <v>180</v>
      </c>
      <c r="HR9">
        <f t="shared" si="3"/>
        <v>181</v>
      </c>
      <c r="HS9">
        <f t="shared" si="3"/>
        <v>182</v>
      </c>
      <c r="HT9">
        <f t="shared" si="3"/>
        <v>183</v>
      </c>
      <c r="HU9">
        <f t="shared" si="3"/>
        <v>184</v>
      </c>
      <c r="HV9">
        <f t="shared" si="3"/>
        <v>185</v>
      </c>
      <c r="HW9">
        <f t="shared" si="3"/>
        <v>186</v>
      </c>
      <c r="HX9">
        <f t="shared" si="3"/>
        <v>187</v>
      </c>
      <c r="HY9">
        <f t="shared" si="3"/>
        <v>188</v>
      </c>
      <c r="HZ9">
        <f t="shared" si="3"/>
        <v>189</v>
      </c>
      <c r="IA9">
        <f t="shared" si="3"/>
        <v>190</v>
      </c>
      <c r="IB9">
        <f t="shared" si="3"/>
        <v>191</v>
      </c>
      <c r="IC9">
        <f t="shared" si="3"/>
        <v>192</v>
      </c>
      <c r="ID9">
        <f t="shared" si="3"/>
        <v>193</v>
      </c>
      <c r="IE9">
        <f t="shared" si="3"/>
        <v>194</v>
      </c>
      <c r="IF9">
        <f t="shared" si="3"/>
        <v>195</v>
      </c>
      <c r="IG9">
        <f t="shared" si="3"/>
        <v>196</v>
      </c>
      <c r="IH9">
        <f t="shared" si="3"/>
        <v>197</v>
      </c>
      <c r="II9">
        <f t="shared" si="3"/>
        <v>198</v>
      </c>
      <c r="IJ9">
        <f t="shared" si="3"/>
        <v>199</v>
      </c>
      <c r="IK9">
        <f t="shared" si="3"/>
        <v>200</v>
      </c>
      <c r="IL9">
        <f t="shared" si="3"/>
        <v>201</v>
      </c>
      <c r="IM9">
        <f t="shared" si="3"/>
        <v>202</v>
      </c>
      <c r="IN9">
        <f t="shared" si="3"/>
        <v>203</v>
      </c>
      <c r="IO9">
        <f t="shared" si="3"/>
        <v>204</v>
      </c>
      <c r="IP9">
        <f t="shared" si="3"/>
        <v>205</v>
      </c>
      <c r="IQ9">
        <f t="shared" si="3"/>
        <v>206</v>
      </c>
      <c r="IR9">
        <f t="shared" si="3"/>
        <v>207</v>
      </c>
      <c r="IS9">
        <f t="shared" si="3"/>
        <v>208</v>
      </c>
      <c r="IT9">
        <f t="shared" si="3"/>
        <v>209</v>
      </c>
    </row>
    <row r="10" spans="1:45" ht="12.75">
      <c r="A10" s="20" t="s">
        <v>33</v>
      </c>
      <c r="B10">
        <v>5.5</v>
      </c>
      <c r="F10" s="22" t="s">
        <v>305</v>
      </c>
      <c r="G10" s="22"/>
      <c r="H10" s="22"/>
      <c r="I10" s="22"/>
      <c r="J10" s="22"/>
      <c r="K10" s="22"/>
      <c r="L10" s="22"/>
      <c r="M10" s="112"/>
      <c r="N10" s="112"/>
      <c r="O10" s="112"/>
      <c r="P10" s="112" t="s">
        <v>306</v>
      </c>
      <c r="Q10" s="112"/>
      <c r="R10" s="112"/>
      <c r="S10" s="112"/>
      <c r="T10" s="112"/>
      <c r="U10" s="112"/>
      <c r="V10" s="112"/>
      <c r="W10" s="112"/>
      <c r="X10" s="112"/>
      <c r="Y10" s="113" t="s">
        <v>307</v>
      </c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</row>
    <row r="11" spans="1:85" ht="12.75">
      <c r="A11" s="20" t="s">
        <v>34</v>
      </c>
      <c r="B11">
        <v>7.9</v>
      </c>
      <c r="D11" t="s">
        <v>64</v>
      </c>
      <c r="E11" t="s">
        <v>65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22"/>
      <c r="AY11" s="22"/>
      <c r="AZ11" s="22"/>
      <c r="BA11" s="24"/>
      <c r="BB11" s="24"/>
      <c r="BC11" s="24"/>
      <c r="BD11" s="24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</row>
    <row r="12" spans="1:25" ht="12.75">
      <c r="A12" s="20" t="s">
        <v>24</v>
      </c>
      <c r="B12" s="14">
        <v>0.7</v>
      </c>
      <c r="Y12" t="s">
        <v>308</v>
      </c>
    </row>
    <row r="13" ht="12.75">
      <c r="Y13" t="s">
        <v>309</v>
      </c>
    </row>
    <row r="14" spans="1:25" ht="12.75">
      <c r="A14" s="103" t="s">
        <v>32</v>
      </c>
      <c r="Y14" t="s">
        <v>310</v>
      </c>
    </row>
    <row r="15" spans="1:29" ht="12.75">
      <c r="A15" s="20" t="s">
        <v>30</v>
      </c>
      <c r="B15">
        <v>500000</v>
      </c>
      <c r="Z15" s="165">
        <f>B26</f>
        <v>864000</v>
      </c>
      <c r="AA15" s="165"/>
      <c r="AB15" s="165"/>
      <c r="AC15" s="165"/>
    </row>
    <row r="16" spans="1:25" ht="12.75">
      <c r="A16" s="20" t="s">
        <v>31</v>
      </c>
      <c r="B16">
        <v>30</v>
      </c>
      <c r="Y16" t="s">
        <v>311</v>
      </c>
    </row>
    <row r="17" spans="1:28" ht="12.75">
      <c r="A17" s="20" t="s">
        <v>20</v>
      </c>
      <c r="B17" s="14">
        <v>0.6</v>
      </c>
      <c r="Z17" s="165">
        <f>Z15/12</f>
        <v>72000</v>
      </c>
      <c r="AA17" s="165"/>
      <c r="AB17" s="165"/>
    </row>
    <row r="18" spans="1:26" ht="12.75">
      <c r="A18" s="20" t="s">
        <v>25</v>
      </c>
      <c r="B18" s="84">
        <f>B15/B17</f>
        <v>833333.3333333334</v>
      </c>
      <c r="Y18">
        <v>3</v>
      </c>
      <c r="Z18" t="s">
        <v>312</v>
      </c>
    </row>
    <row r="19" spans="1:29" ht="12.75">
      <c r="A19" s="20" t="s">
        <v>26</v>
      </c>
      <c r="B19">
        <v>8</v>
      </c>
      <c r="Z19" s="165">
        <f>Z17*21</f>
        <v>1512000</v>
      </c>
      <c r="AA19" s="165"/>
      <c r="AB19" s="165"/>
      <c r="AC19" s="165"/>
    </row>
    <row r="20" spans="1:25" ht="12.75">
      <c r="A20" s="20" t="s">
        <v>27</v>
      </c>
      <c r="B20">
        <v>18</v>
      </c>
      <c r="Y20" t="s">
        <v>313</v>
      </c>
    </row>
    <row r="21" spans="1:29" ht="12.75">
      <c r="A21" s="20" t="s">
        <v>28</v>
      </c>
      <c r="B21" s="86">
        <f>B19*(B20*1000)</f>
        <v>144000</v>
      </c>
      <c r="Z21" s="165">
        <f>Z19/B12</f>
        <v>2160000</v>
      </c>
      <c r="AA21" s="165"/>
      <c r="AB21" s="165"/>
      <c r="AC21" s="165"/>
    </row>
    <row r="22" spans="1:2" ht="12.75">
      <c r="A22" s="20" t="s">
        <v>29</v>
      </c>
      <c r="B22" s="22">
        <f>ROUNDUP((B18/B21),0)</f>
        <v>6</v>
      </c>
    </row>
    <row r="24" ht="12.75">
      <c r="A24" s="103" t="s">
        <v>286</v>
      </c>
    </row>
    <row r="25" spans="1:2" ht="12.75">
      <c r="A25" s="20" t="s">
        <v>63</v>
      </c>
      <c r="B25">
        <v>12</v>
      </c>
    </row>
    <row r="26" spans="1:2" ht="12.75">
      <c r="A26" s="20" t="s">
        <v>71</v>
      </c>
      <c r="B26" s="86">
        <f>B21*B22</f>
        <v>864000</v>
      </c>
    </row>
    <row r="27" spans="1:2" ht="12.75">
      <c r="A27" s="20" t="s">
        <v>70</v>
      </c>
      <c r="B27" s="26">
        <f>B26/B25</f>
        <v>72000</v>
      </c>
    </row>
    <row r="28" spans="1:2" ht="12.75">
      <c r="A28" s="20" t="s">
        <v>315</v>
      </c>
      <c r="B28" s="26">
        <v>21</v>
      </c>
    </row>
    <row r="29" spans="1:2" ht="12.75">
      <c r="A29" s="20" t="s">
        <v>314</v>
      </c>
      <c r="B29" s="86">
        <f>B28*B27</f>
        <v>1512000</v>
      </c>
    </row>
    <row r="30" spans="1:2" ht="12.75">
      <c r="A30" s="20" t="s">
        <v>68</v>
      </c>
      <c r="B30" s="86">
        <f>B29/B12</f>
        <v>2160000</v>
      </c>
    </row>
    <row r="31" spans="1:2" ht="12.75">
      <c r="A31" s="20" t="s">
        <v>69</v>
      </c>
      <c r="B31" s="86">
        <f>B30/B10</f>
        <v>392727.2727272727</v>
      </c>
    </row>
    <row r="32" spans="1:2" ht="12.75">
      <c r="A32" s="20" t="s">
        <v>35</v>
      </c>
      <c r="B32" s="86">
        <f>ROUNDUP((B31/250),0)</f>
        <v>1571</v>
      </c>
    </row>
    <row r="33" spans="1:2" ht="12.75">
      <c r="A33" s="20" t="s">
        <v>72</v>
      </c>
      <c r="B33" s="84">
        <f>B32/0.75</f>
        <v>2094.6666666666665</v>
      </c>
    </row>
    <row r="34" spans="1:2" ht="12.75">
      <c r="A34" s="20" t="s">
        <v>73</v>
      </c>
      <c r="B34" s="86">
        <f>B33-B32</f>
        <v>523.6666666666665</v>
      </c>
    </row>
    <row r="35" spans="1:2" ht="12.75">
      <c r="A35" s="20" t="s">
        <v>74</v>
      </c>
      <c r="B35" s="86">
        <f>B33/B8</f>
        <v>2792.8888888888887</v>
      </c>
    </row>
    <row r="36" spans="1:2" ht="12.75">
      <c r="A36" s="20" t="s">
        <v>75</v>
      </c>
      <c r="B36" s="84">
        <v>3000</v>
      </c>
    </row>
  </sheetData>
  <mergeCells count="4">
    <mergeCell ref="Z15:AC15"/>
    <mergeCell ref="Z17:AB17"/>
    <mergeCell ref="Z19:AC19"/>
    <mergeCell ref="Z21:AC2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0"/>
  <sheetViews>
    <sheetView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2" max="2" width="7.140625" style="0" customWidth="1"/>
    <col min="3" max="3" width="8.421875" style="0" customWidth="1"/>
    <col min="6" max="6" width="13.7109375" style="0" customWidth="1"/>
  </cols>
  <sheetData>
    <row r="2" spans="1:3" ht="12.75">
      <c r="A2" t="s">
        <v>17</v>
      </c>
      <c r="C2">
        <v>6</v>
      </c>
    </row>
    <row r="3" ht="12.75">
      <c r="A3" s="39" t="s">
        <v>111</v>
      </c>
    </row>
    <row r="4" spans="1:3" ht="12.75">
      <c r="A4" t="s">
        <v>109</v>
      </c>
      <c r="C4" s="16">
        <v>0.64</v>
      </c>
    </row>
    <row r="5" spans="1:3" ht="12.75">
      <c r="A5" t="s">
        <v>110</v>
      </c>
      <c r="C5">
        <v>6</v>
      </c>
    </row>
    <row r="6" spans="1:3" ht="12.75">
      <c r="A6" t="s">
        <v>304</v>
      </c>
      <c r="C6" s="18">
        <f>C12*C4</f>
        <v>18.095616</v>
      </c>
    </row>
    <row r="7" ht="12.75">
      <c r="A7" s="39" t="s">
        <v>166</v>
      </c>
    </row>
    <row r="8" spans="1:3" ht="12.75">
      <c r="A8" t="s">
        <v>112</v>
      </c>
      <c r="B8" t="s">
        <v>108</v>
      </c>
      <c r="C8">
        <f>2*3.1416*3</f>
        <v>18.8496</v>
      </c>
    </row>
    <row r="9" spans="1:3" ht="12.75">
      <c r="A9" t="s">
        <v>113</v>
      </c>
      <c r="C9">
        <v>0.12</v>
      </c>
    </row>
    <row r="10" spans="1:3" ht="12.75">
      <c r="A10" t="s">
        <v>114</v>
      </c>
      <c r="C10">
        <f>C4+0.2</f>
        <v>0.8400000000000001</v>
      </c>
    </row>
    <row r="11" spans="1:3" ht="12.75">
      <c r="A11" t="s">
        <v>118</v>
      </c>
      <c r="C11">
        <f>C8*C9*C10</f>
        <v>1.9000396800000001</v>
      </c>
    </row>
    <row r="12" spans="1:3" ht="12.75">
      <c r="A12" t="s">
        <v>117</v>
      </c>
      <c r="B12" t="s">
        <v>115</v>
      </c>
      <c r="C12">
        <f>3.1416*(C5/2)^2</f>
        <v>28.2744</v>
      </c>
    </row>
    <row r="13" spans="1:3" ht="12.75">
      <c r="A13" t="s">
        <v>116</v>
      </c>
      <c r="C13" s="16">
        <v>0.1</v>
      </c>
    </row>
    <row r="14" spans="1:3" ht="12.75">
      <c r="A14" t="s">
        <v>119</v>
      </c>
      <c r="C14" s="16">
        <f>C12*C13</f>
        <v>2.82744</v>
      </c>
    </row>
    <row r="15" spans="1:3" ht="12.75">
      <c r="A15" t="s">
        <v>120</v>
      </c>
      <c r="C15" s="16">
        <f>C11+C14</f>
        <v>4.72747968</v>
      </c>
    </row>
    <row r="16" spans="1:3" ht="12.75">
      <c r="A16" t="s">
        <v>121</v>
      </c>
      <c r="C16" s="29">
        <v>450</v>
      </c>
    </row>
    <row r="17" spans="1:3" ht="12.75">
      <c r="A17" t="s">
        <v>123</v>
      </c>
      <c r="C17" s="18">
        <f>C16*C15</f>
        <v>2127.365856</v>
      </c>
    </row>
    <row r="18" spans="1:3" ht="12.75">
      <c r="A18" t="s">
        <v>124</v>
      </c>
      <c r="C18" s="18">
        <f>C17*C2</f>
        <v>12764.195135999998</v>
      </c>
    </row>
    <row r="19" spans="1:3" ht="12.75">
      <c r="A19" s="39" t="s">
        <v>125</v>
      </c>
      <c r="C19" s="18"/>
    </row>
    <row r="20" spans="1:4" ht="12.75">
      <c r="A20" t="s">
        <v>129</v>
      </c>
      <c r="B20" s="21">
        <v>9</v>
      </c>
      <c r="C20" s="40">
        <v>32.67</v>
      </c>
      <c r="D20">
        <f>C20*B20</f>
        <v>294.03000000000003</v>
      </c>
    </row>
    <row r="21" spans="1:4" ht="12.75">
      <c r="A21" t="s">
        <v>132</v>
      </c>
      <c r="B21" s="21">
        <v>2</v>
      </c>
      <c r="C21" s="40">
        <v>80.81</v>
      </c>
      <c r="D21">
        <f aca="true" t="shared" si="0" ref="D21:D26">C21*B21</f>
        <v>161.62</v>
      </c>
    </row>
    <row r="22" spans="1:4" ht="12.75">
      <c r="A22" s="38" t="s">
        <v>130</v>
      </c>
      <c r="B22" s="21">
        <v>6</v>
      </c>
      <c r="C22" s="40">
        <v>4.2</v>
      </c>
      <c r="D22">
        <f t="shared" si="0"/>
        <v>25.200000000000003</v>
      </c>
    </row>
    <row r="23" spans="1:4" ht="12.75">
      <c r="A23" s="38" t="s">
        <v>126</v>
      </c>
      <c r="B23" s="21">
        <v>6</v>
      </c>
      <c r="C23" s="40">
        <v>11.48</v>
      </c>
      <c r="D23">
        <f t="shared" si="0"/>
        <v>68.88</v>
      </c>
    </row>
    <row r="24" spans="1:4" ht="12.75">
      <c r="A24" s="38" t="s">
        <v>131</v>
      </c>
      <c r="B24" s="21">
        <v>1</v>
      </c>
      <c r="C24" s="40">
        <v>11.68</v>
      </c>
      <c r="D24">
        <f t="shared" si="0"/>
        <v>11.68</v>
      </c>
    </row>
    <row r="25" spans="1:4" ht="12.75">
      <c r="A25" s="38" t="s">
        <v>133</v>
      </c>
      <c r="B25" s="21">
        <v>18</v>
      </c>
      <c r="C25" s="40">
        <v>1.66</v>
      </c>
      <c r="D25">
        <f t="shared" si="0"/>
        <v>29.88</v>
      </c>
    </row>
    <row r="26" spans="1:4" ht="12.75">
      <c r="A26" s="38" t="s">
        <v>134</v>
      </c>
      <c r="B26" s="21">
        <v>6</v>
      </c>
      <c r="C26" s="40">
        <v>16.66</v>
      </c>
      <c r="D26">
        <f t="shared" si="0"/>
        <v>99.96000000000001</v>
      </c>
    </row>
    <row r="27" spans="1:4" ht="12.75">
      <c r="A27" s="2" t="s">
        <v>122</v>
      </c>
      <c r="C27" s="18"/>
      <c r="D27" s="2">
        <f>SUM(D20:D26)</f>
        <v>691.25</v>
      </c>
    </row>
    <row r="28" spans="1:4" ht="12.75">
      <c r="A28" s="39" t="s">
        <v>127</v>
      </c>
      <c r="C28" s="25"/>
      <c r="D28" s="25"/>
    </row>
    <row r="29" spans="1:4" ht="12.75">
      <c r="A29" t="s">
        <v>135</v>
      </c>
      <c r="B29">
        <v>10</v>
      </c>
      <c r="C29" s="40">
        <v>23.85</v>
      </c>
      <c r="D29">
        <f aca="true" t="shared" si="1" ref="D29:D37">C29*B29</f>
        <v>238.5</v>
      </c>
    </row>
    <row r="30" spans="1:4" ht="12.75">
      <c r="A30" t="s">
        <v>136</v>
      </c>
      <c r="B30">
        <v>2</v>
      </c>
      <c r="C30" s="40">
        <v>48.52</v>
      </c>
      <c r="D30">
        <f t="shared" si="1"/>
        <v>97.04</v>
      </c>
    </row>
    <row r="31" spans="1:4" ht="12.75">
      <c r="A31" s="38" t="s">
        <v>128</v>
      </c>
      <c r="B31">
        <v>6</v>
      </c>
      <c r="C31" s="40">
        <v>6.98</v>
      </c>
      <c r="D31">
        <f t="shared" si="1"/>
        <v>41.88</v>
      </c>
    </row>
    <row r="32" spans="1:4" ht="12.75">
      <c r="A32" s="38" t="s">
        <v>137</v>
      </c>
      <c r="B32">
        <v>6</v>
      </c>
      <c r="C32" s="40">
        <v>5.31</v>
      </c>
      <c r="D32">
        <f t="shared" si="1"/>
        <v>31.86</v>
      </c>
    </row>
    <row r="33" spans="1:4" ht="12.75">
      <c r="A33" s="38" t="s">
        <v>131</v>
      </c>
      <c r="B33">
        <v>1</v>
      </c>
      <c r="C33" s="40">
        <v>11.68</v>
      </c>
      <c r="D33">
        <f t="shared" si="1"/>
        <v>11.68</v>
      </c>
    </row>
    <row r="34" spans="1:4" ht="12.75">
      <c r="A34" s="38" t="s">
        <v>141</v>
      </c>
      <c r="B34">
        <v>6</v>
      </c>
      <c r="C34" s="40">
        <v>16.66</v>
      </c>
      <c r="D34">
        <f t="shared" si="1"/>
        <v>99.96000000000001</v>
      </c>
    </row>
    <row r="35" spans="1:4" ht="12.75">
      <c r="A35" s="38" t="s">
        <v>138</v>
      </c>
      <c r="B35">
        <v>6</v>
      </c>
      <c r="C35" s="40">
        <v>4</v>
      </c>
      <c r="D35">
        <f t="shared" si="1"/>
        <v>24</v>
      </c>
    </row>
    <row r="36" spans="1:4" ht="12.75">
      <c r="A36" s="38" t="s">
        <v>139</v>
      </c>
      <c r="B36" s="40">
        <v>6</v>
      </c>
      <c r="C36" s="40">
        <f>83.7/100</f>
        <v>0.8370000000000001</v>
      </c>
      <c r="D36">
        <f t="shared" si="1"/>
        <v>5.022</v>
      </c>
    </row>
    <row r="37" spans="1:4" ht="12.75">
      <c r="A37" s="38" t="s">
        <v>140</v>
      </c>
      <c r="B37" s="40">
        <f>19*6</f>
        <v>114</v>
      </c>
      <c r="C37" s="40">
        <v>3.24</v>
      </c>
      <c r="D37">
        <f t="shared" si="1"/>
        <v>369.36</v>
      </c>
    </row>
    <row r="38" spans="1:4" ht="12.75">
      <c r="A38" s="2" t="s">
        <v>122</v>
      </c>
      <c r="C38" s="25"/>
      <c r="D38" s="42">
        <f>SUM(D29:D37)</f>
        <v>919.3020000000001</v>
      </c>
    </row>
    <row r="39" spans="1:4" ht="12.75">
      <c r="A39" s="27" t="s">
        <v>41</v>
      </c>
      <c r="C39" s="25"/>
      <c r="D39" s="25"/>
    </row>
    <row r="40" spans="1:4" ht="12.75">
      <c r="A40" s="2" t="s">
        <v>142</v>
      </c>
      <c r="B40" s="18">
        <f>'Pisc, res.'!B39/2</f>
        <v>21.354166666666668</v>
      </c>
      <c r="C40" s="25"/>
      <c r="D40" s="25"/>
    </row>
    <row r="41" spans="1:2" ht="12.75">
      <c r="A41" s="28" t="s">
        <v>57</v>
      </c>
      <c r="B41" s="43">
        <v>150</v>
      </c>
    </row>
    <row r="42" spans="1:2" ht="12.75">
      <c r="A42" t="s">
        <v>58</v>
      </c>
      <c r="B42" s="43">
        <v>40</v>
      </c>
    </row>
    <row r="43" spans="1:2" ht="12.75">
      <c r="A43" t="s">
        <v>145</v>
      </c>
      <c r="B43" s="43">
        <v>280</v>
      </c>
    </row>
    <row r="44" spans="1:2" ht="12.75">
      <c r="A44" t="s">
        <v>59</v>
      </c>
      <c r="B44" s="43">
        <f>B43*B42</f>
        <v>11200</v>
      </c>
    </row>
    <row r="45" spans="1:2" ht="12.75">
      <c r="A45" t="s">
        <v>144</v>
      </c>
      <c r="B45" s="43">
        <v>1500</v>
      </c>
    </row>
    <row r="46" spans="1:2" ht="12.75">
      <c r="A46" s="2" t="s">
        <v>60</v>
      </c>
      <c r="B46" s="2">
        <f>B44+B45</f>
        <v>12700</v>
      </c>
    </row>
    <row r="47" ht="12.75">
      <c r="A47" s="27" t="s">
        <v>147</v>
      </c>
    </row>
    <row r="48" spans="1:2" ht="12.75">
      <c r="A48" t="s">
        <v>148</v>
      </c>
      <c r="B48">
        <v>2</v>
      </c>
    </row>
    <row r="49" spans="1:2" ht="12.75">
      <c r="A49" t="s">
        <v>168</v>
      </c>
      <c r="B49" s="8">
        <v>800</v>
      </c>
    </row>
    <row r="50" spans="1:2" ht="12.75">
      <c r="A50" t="s">
        <v>122</v>
      </c>
      <c r="B50">
        <f>B49*B48</f>
        <v>1600</v>
      </c>
    </row>
  </sheetData>
  <printOptions/>
  <pageMargins left="0.75" right="0.75" top="1" bottom="1" header="0" footer="0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7" sqref="E7"/>
    </sheetView>
  </sheetViews>
  <sheetFormatPr defaultColWidth="11.421875" defaultRowHeight="12.75"/>
  <cols>
    <col min="1" max="1" width="15.8515625" style="0" customWidth="1"/>
    <col min="5" max="5" width="6.7109375" style="0" customWidth="1"/>
    <col min="6" max="6" width="4.57421875" style="0" customWidth="1"/>
    <col min="7" max="10" width="8.8515625" style="0" customWidth="1"/>
  </cols>
  <sheetData>
    <row r="1" ht="12.75">
      <c r="A1" s="2" t="s">
        <v>161</v>
      </c>
    </row>
    <row r="2" spans="2:3" ht="12.75">
      <c r="B2" t="s">
        <v>154</v>
      </c>
      <c r="C2" t="s">
        <v>160</v>
      </c>
    </row>
    <row r="3" spans="1:5" ht="12.75">
      <c r="A3" t="s">
        <v>150</v>
      </c>
      <c r="C3" s="18"/>
      <c r="D3" s="18">
        <f>B3+C3</f>
        <v>0</v>
      </c>
      <c r="E3">
        <f>D3*$B$16</f>
        <v>0</v>
      </c>
    </row>
    <row r="4" spans="1:5" ht="12.75">
      <c r="A4" t="s">
        <v>151</v>
      </c>
      <c r="C4" s="18"/>
      <c r="D4" s="18">
        <f>B4+C4</f>
        <v>0</v>
      </c>
      <c r="E4" s="18"/>
    </row>
    <row r="5" spans="1:5" ht="12.75">
      <c r="A5" t="s">
        <v>152</v>
      </c>
      <c r="C5" s="18"/>
      <c r="D5" s="18">
        <f>B5+C5</f>
        <v>0</v>
      </c>
      <c r="E5" s="18"/>
    </row>
    <row r="6" spans="1:5" ht="12.75">
      <c r="A6" t="s">
        <v>153</v>
      </c>
      <c r="C6" s="18"/>
      <c r="D6" s="18">
        <f>B6+C6</f>
        <v>0</v>
      </c>
      <c r="E6" s="18"/>
    </row>
    <row r="7" spans="1:5" ht="12.75">
      <c r="A7" t="s">
        <v>163</v>
      </c>
      <c r="B7">
        <f>15*4</f>
        <v>60</v>
      </c>
      <c r="C7">
        <f>(15+15+4*5)*2.4</f>
        <v>120</v>
      </c>
      <c r="D7" s="18">
        <f>B7+C7</f>
        <v>180</v>
      </c>
      <c r="E7">
        <f>D7*$B$16</f>
        <v>27000</v>
      </c>
    </row>
    <row r="9" spans="1:5" ht="12.75">
      <c r="A9" t="s">
        <v>155</v>
      </c>
      <c r="D9" s="18"/>
      <c r="E9" s="18"/>
    </row>
    <row r="10" spans="1:5" ht="12.75">
      <c r="A10" t="s">
        <v>159</v>
      </c>
      <c r="D10" s="18"/>
      <c r="E10" s="18"/>
    </row>
    <row r="11" spans="1:5" ht="12.75">
      <c r="A11" t="s">
        <v>156</v>
      </c>
      <c r="D11" s="18"/>
      <c r="E11" s="18"/>
    </row>
    <row r="12" spans="1:5" ht="12.75">
      <c r="A12" t="s">
        <v>157</v>
      </c>
      <c r="D12" s="18"/>
      <c r="E12" s="18"/>
    </row>
    <row r="13" spans="1:5" ht="12.75">
      <c r="A13" t="s">
        <v>158</v>
      </c>
      <c r="D13" s="18"/>
      <c r="E13" s="18"/>
    </row>
    <row r="14" spans="1:5" ht="12.75">
      <c r="A14" t="s">
        <v>164</v>
      </c>
      <c r="B14">
        <f>B7</f>
        <v>60</v>
      </c>
      <c r="C14">
        <f>C7</f>
        <v>120</v>
      </c>
      <c r="D14">
        <f>D7</f>
        <v>180</v>
      </c>
      <c r="E14">
        <f>E7</f>
        <v>27000</v>
      </c>
    </row>
    <row r="15" spans="4:5" ht="12.75">
      <c r="D15" s="18">
        <f>SUM(D3:D13)</f>
        <v>180</v>
      </c>
      <c r="E15" s="18"/>
    </row>
    <row r="16" spans="1:2" ht="12.75">
      <c r="A16" t="s">
        <v>162</v>
      </c>
      <c r="B16">
        <v>150</v>
      </c>
    </row>
    <row r="17" spans="1:2" ht="12.75">
      <c r="A17" s="2" t="s">
        <v>122</v>
      </c>
      <c r="B17">
        <f>E7+E14</f>
        <v>54000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" sqref="B3"/>
    </sheetView>
  </sheetViews>
  <sheetFormatPr defaultColWidth="11.421875" defaultRowHeight="12.75"/>
  <cols>
    <col min="1" max="1" width="12.00390625" style="0" bestFit="1" customWidth="1"/>
  </cols>
  <sheetData>
    <row r="1" ht="12.75">
      <c r="A1" s="2" t="s">
        <v>288</v>
      </c>
    </row>
    <row r="2" spans="1:2" ht="12.75">
      <c r="A2" t="s">
        <v>289</v>
      </c>
      <c r="B2">
        <f>21*15</f>
        <v>315</v>
      </c>
    </row>
    <row r="3" spans="1:2" ht="12.75">
      <c r="A3" t="s">
        <v>290</v>
      </c>
      <c r="B3">
        <v>4</v>
      </c>
    </row>
    <row r="4" spans="1:2" ht="12.75">
      <c r="A4" t="s">
        <v>291</v>
      </c>
      <c r="B4">
        <f>B2*B3</f>
        <v>1260</v>
      </c>
    </row>
    <row r="5" ht="12.75">
      <c r="A5" s="2" t="s">
        <v>292</v>
      </c>
    </row>
    <row r="6" spans="1:2" ht="12.75">
      <c r="A6" t="s">
        <v>289</v>
      </c>
      <c r="B6">
        <v>6000</v>
      </c>
    </row>
    <row r="7" spans="1:2" ht="12.75">
      <c r="A7" t="s">
        <v>290</v>
      </c>
      <c r="B7">
        <v>0.45</v>
      </c>
    </row>
    <row r="8" spans="1:2" ht="12.75">
      <c r="A8" t="s">
        <v>291</v>
      </c>
      <c r="B8">
        <f>B6*B7</f>
        <v>2700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7">
      <selection activeCell="A35" sqref="A35"/>
    </sheetView>
  </sheetViews>
  <sheetFormatPr defaultColWidth="11.421875" defaultRowHeight="12.75"/>
  <cols>
    <col min="1" max="1" width="47.421875" style="0" customWidth="1"/>
    <col min="2" max="2" width="12.140625" style="0" customWidth="1"/>
    <col min="3" max="3" width="15.421875" style="0" customWidth="1"/>
    <col min="4" max="4" width="16.8515625" style="0" customWidth="1"/>
  </cols>
  <sheetData>
    <row r="1" spans="1:4" ht="12.75">
      <c r="A1" s="2" t="s">
        <v>16</v>
      </c>
      <c r="B1" s="2" t="s">
        <v>37</v>
      </c>
      <c r="C1" t="s">
        <v>252</v>
      </c>
      <c r="D1" t="s">
        <v>295</v>
      </c>
    </row>
    <row r="2" spans="1:4" ht="12.75">
      <c r="A2" t="s">
        <v>143</v>
      </c>
      <c r="B2" s="85">
        <f>'Pisc, res.'!B15</f>
        <v>16848</v>
      </c>
      <c r="C2" s="88">
        <v>0.1</v>
      </c>
      <c r="D2" s="87">
        <f>C2*B2</f>
        <v>1684.8000000000002</v>
      </c>
    </row>
    <row r="3" spans="1:5" ht="12.75">
      <c r="A3" s="162" t="s">
        <v>439</v>
      </c>
      <c r="B3" s="159">
        <v>5000</v>
      </c>
      <c r="C3" s="160">
        <v>0</v>
      </c>
      <c r="D3" s="161">
        <f>C3*B3</f>
        <v>0</v>
      </c>
      <c r="E3" s="27" t="s">
        <v>438</v>
      </c>
    </row>
    <row r="4" spans="1:4" ht="12.75">
      <c r="A4" t="s">
        <v>93</v>
      </c>
      <c r="B4" s="85">
        <f>'Pisc, res.'!B25</f>
        <v>5854.5</v>
      </c>
      <c r="C4" s="88">
        <v>0.1</v>
      </c>
      <c r="D4" s="87">
        <f aca="true" t="shared" si="0" ref="D4:D29">C4*B4</f>
        <v>585.45</v>
      </c>
    </row>
    <row r="5" spans="1:4" ht="12.75">
      <c r="A5" t="s">
        <v>94</v>
      </c>
      <c r="B5" s="85">
        <f>'Pisc, res.'!B34</f>
        <v>2844.5</v>
      </c>
      <c r="C5" s="88">
        <v>0.1</v>
      </c>
      <c r="D5" s="87">
        <f t="shared" si="0"/>
        <v>284.45</v>
      </c>
    </row>
    <row r="6" spans="1:4" ht="12.75">
      <c r="A6" t="s">
        <v>97</v>
      </c>
      <c r="B6" s="85">
        <f>'Pisc, res.'!B45</f>
        <v>6400</v>
      </c>
      <c r="C6" s="88">
        <v>0.1</v>
      </c>
      <c r="D6" s="87">
        <f t="shared" si="0"/>
        <v>640</v>
      </c>
    </row>
    <row r="7" spans="1:4" ht="12.75">
      <c r="A7" t="s">
        <v>17</v>
      </c>
      <c r="B7" s="85">
        <f>Tanques!C18</f>
        <v>12764.195135999998</v>
      </c>
      <c r="C7" s="88">
        <v>0.1</v>
      </c>
      <c r="D7" s="87">
        <f t="shared" si="0"/>
        <v>1276.4195135999998</v>
      </c>
    </row>
    <row r="8" spans="1:4" ht="12.75">
      <c r="A8" t="s">
        <v>125</v>
      </c>
      <c r="B8" s="85">
        <f>Tanques!D27</f>
        <v>691.25</v>
      </c>
      <c r="C8" s="88">
        <v>0.1</v>
      </c>
      <c r="D8" s="87">
        <f t="shared" si="0"/>
        <v>69.125</v>
      </c>
    </row>
    <row r="9" spans="1:4" ht="12.75">
      <c r="A9" t="s">
        <v>127</v>
      </c>
      <c r="B9" s="85">
        <f>Tanques!D38</f>
        <v>919.3020000000001</v>
      </c>
      <c r="C9" s="88">
        <v>0.1</v>
      </c>
      <c r="D9" s="87">
        <f t="shared" si="0"/>
        <v>91.93020000000001</v>
      </c>
    </row>
    <row r="10" spans="1:4" ht="12.75">
      <c r="A10" t="s">
        <v>146</v>
      </c>
      <c r="B10" s="85">
        <f>Tanques!B46</f>
        <v>12700</v>
      </c>
      <c r="C10" s="88">
        <v>0.1</v>
      </c>
      <c r="D10" s="87">
        <f t="shared" si="0"/>
        <v>1270</v>
      </c>
    </row>
    <row r="11" spans="1:4" ht="12.75">
      <c r="A11" t="s">
        <v>62</v>
      </c>
      <c r="B11" s="85">
        <f>Tanques!B50</f>
        <v>1600</v>
      </c>
      <c r="C11" s="88">
        <v>0.1</v>
      </c>
      <c r="D11" s="87">
        <f t="shared" si="0"/>
        <v>160</v>
      </c>
    </row>
    <row r="12" spans="1:4" ht="12.75">
      <c r="A12" t="s">
        <v>149</v>
      </c>
      <c r="B12" s="85">
        <f>'Obra civil'!B17</f>
        <v>54000</v>
      </c>
      <c r="C12" s="88">
        <v>0.1</v>
      </c>
      <c r="D12" s="87">
        <f t="shared" si="0"/>
        <v>5400</v>
      </c>
    </row>
    <row r="13" spans="1:4" ht="12.75">
      <c r="A13" t="s">
        <v>288</v>
      </c>
      <c r="B13" s="85">
        <f>'Otras Inv.'!B4</f>
        <v>1260</v>
      </c>
      <c r="C13" s="88">
        <v>0.1</v>
      </c>
      <c r="D13" s="87">
        <f t="shared" si="0"/>
        <v>126</v>
      </c>
    </row>
    <row r="14" spans="1:4" ht="12.75">
      <c r="A14" t="s">
        <v>292</v>
      </c>
      <c r="B14" s="85">
        <f>'Otras Inv.'!B8</f>
        <v>2700</v>
      </c>
      <c r="C14" s="88">
        <v>0.1</v>
      </c>
      <c r="D14" s="87">
        <f t="shared" si="0"/>
        <v>270</v>
      </c>
    </row>
    <row r="15" spans="1:4" ht="12.75">
      <c r="A15" t="s">
        <v>240</v>
      </c>
      <c r="B15" s="85">
        <v>635</v>
      </c>
      <c r="C15" s="88">
        <v>0.1</v>
      </c>
      <c r="D15" s="87">
        <f t="shared" si="0"/>
        <v>63.5</v>
      </c>
    </row>
    <row r="16" spans="1:4" ht="12.75">
      <c r="A16" t="s">
        <v>278</v>
      </c>
      <c r="B16" s="85">
        <v>100</v>
      </c>
      <c r="C16" s="88">
        <v>0.1</v>
      </c>
      <c r="D16" s="87">
        <f t="shared" si="0"/>
        <v>10</v>
      </c>
    </row>
    <row r="17" spans="1:4" ht="12.75">
      <c r="A17" s="80" t="s">
        <v>250</v>
      </c>
      <c r="B17" s="85">
        <v>100</v>
      </c>
      <c r="C17" s="88">
        <v>0.1</v>
      </c>
      <c r="D17" s="87">
        <f t="shared" si="0"/>
        <v>10</v>
      </c>
    </row>
    <row r="18" spans="1:4" ht="12.75">
      <c r="A18" s="21" t="s">
        <v>251</v>
      </c>
      <c r="B18" s="85">
        <v>25</v>
      </c>
      <c r="C18" s="88">
        <v>0.1</v>
      </c>
      <c r="D18" s="87">
        <f t="shared" si="0"/>
        <v>2.5</v>
      </c>
    </row>
    <row r="19" spans="1:4" ht="12.75">
      <c r="A19" t="s">
        <v>241</v>
      </c>
      <c r="B19" s="85">
        <v>90</v>
      </c>
      <c r="C19" s="88">
        <v>0.1</v>
      </c>
      <c r="D19" s="87">
        <f t="shared" si="0"/>
        <v>9</v>
      </c>
    </row>
    <row r="20" spans="1:4" ht="12.75">
      <c r="A20" t="s">
        <v>242</v>
      </c>
      <c r="B20" s="85">
        <v>30</v>
      </c>
      <c r="C20" s="88">
        <v>0.1</v>
      </c>
      <c r="D20" s="87">
        <f t="shared" si="0"/>
        <v>3</v>
      </c>
    </row>
    <row r="21" spans="1:4" ht="12.75">
      <c r="A21" t="s">
        <v>294</v>
      </c>
      <c r="B21" s="85">
        <v>770</v>
      </c>
      <c r="C21" s="88">
        <v>0.1</v>
      </c>
      <c r="D21" s="87">
        <f t="shared" si="0"/>
        <v>77</v>
      </c>
    </row>
    <row r="22" spans="1:4" ht="12.75">
      <c r="A22" t="s">
        <v>293</v>
      </c>
      <c r="B22" s="85">
        <v>89</v>
      </c>
      <c r="C22" s="88">
        <v>0.1</v>
      </c>
      <c r="D22" s="87">
        <f t="shared" si="0"/>
        <v>8.9</v>
      </c>
    </row>
    <row r="23" spans="1:4" ht="12.75">
      <c r="A23" t="s">
        <v>243</v>
      </c>
      <c r="B23" s="85">
        <v>1000</v>
      </c>
      <c r="C23" s="88">
        <v>0.1</v>
      </c>
      <c r="D23" s="87">
        <f t="shared" si="0"/>
        <v>100</v>
      </c>
    </row>
    <row r="24" spans="1:4" ht="12.75">
      <c r="A24" t="s">
        <v>244</v>
      </c>
      <c r="B24" s="85">
        <v>700</v>
      </c>
      <c r="C24" s="88">
        <v>0.2</v>
      </c>
      <c r="D24" s="87">
        <f t="shared" si="0"/>
        <v>140</v>
      </c>
    </row>
    <row r="25" spans="1:4" ht="12.75">
      <c r="A25" t="s">
        <v>245</v>
      </c>
      <c r="B25" s="85">
        <v>500</v>
      </c>
      <c r="C25" s="88">
        <v>0.1</v>
      </c>
      <c r="D25" s="87">
        <f t="shared" si="0"/>
        <v>50</v>
      </c>
    </row>
    <row r="26" spans="1:4" ht="12.75">
      <c r="A26" t="s">
        <v>246</v>
      </c>
      <c r="B26" s="85">
        <v>2000</v>
      </c>
      <c r="C26" s="88">
        <v>0.1</v>
      </c>
      <c r="D26" s="87">
        <f t="shared" si="0"/>
        <v>200</v>
      </c>
    </row>
    <row r="27" spans="1:4" ht="12.75">
      <c r="A27" t="s">
        <v>247</v>
      </c>
      <c r="B27" s="85">
        <v>0</v>
      </c>
      <c r="C27" s="88">
        <v>0.1</v>
      </c>
      <c r="D27" s="87">
        <f t="shared" si="0"/>
        <v>0</v>
      </c>
    </row>
    <row r="28" spans="1:4" ht="12.75">
      <c r="A28" t="s">
        <v>248</v>
      </c>
      <c r="B28" s="85">
        <v>17000</v>
      </c>
      <c r="C28" s="88">
        <v>0.2</v>
      </c>
      <c r="D28" s="87">
        <f t="shared" si="0"/>
        <v>3400</v>
      </c>
    </row>
    <row r="29" spans="1:4" ht="12.75">
      <c r="A29" t="s">
        <v>249</v>
      </c>
      <c r="B29" s="85">
        <v>0</v>
      </c>
      <c r="C29" s="88">
        <v>0.1</v>
      </c>
      <c r="D29" s="87">
        <f t="shared" si="0"/>
        <v>0</v>
      </c>
    </row>
    <row r="30" spans="1:4" ht="12.75">
      <c r="A30" t="s">
        <v>279</v>
      </c>
      <c r="B30" s="87">
        <f>SUM(B2:B29)</f>
        <v>146620.747136</v>
      </c>
      <c r="D30" s="87">
        <f>SUM(D2:D29)</f>
        <v>15932.074713599999</v>
      </c>
    </row>
    <row r="32" spans="2:4" ht="12.75">
      <c r="B32" t="s">
        <v>418</v>
      </c>
      <c r="D32" s="127">
        <f>D30-D28-D24</f>
        <v>12392.074713599999</v>
      </c>
    </row>
    <row r="35" spans="1:4" ht="12.75">
      <c r="A35" t="s">
        <v>447</v>
      </c>
      <c r="B35" t="s">
        <v>443</v>
      </c>
      <c r="C35" t="s">
        <v>444</v>
      </c>
      <c r="D35" t="s">
        <v>92</v>
      </c>
    </row>
    <row r="36" spans="1:5" ht="12.75">
      <c r="A36" t="s">
        <v>442</v>
      </c>
      <c r="B36" s="86">
        <v>2000</v>
      </c>
      <c r="C36">
        <f>2500/1000</f>
        <v>2.5</v>
      </c>
      <c r="D36">
        <f>C36*B36</f>
        <v>5000</v>
      </c>
      <c r="E36" t="s">
        <v>445</v>
      </c>
    </row>
    <row r="37" spans="1:5" ht="12.75">
      <c r="A37" t="s">
        <v>442</v>
      </c>
      <c r="B37" s="86">
        <v>1000</v>
      </c>
      <c r="C37">
        <f>2500/1000</f>
        <v>2.5</v>
      </c>
      <c r="D37">
        <f>C37*B37</f>
        <v>2500</v>
      </c>
      <c r="E37" t="s">
        <v>446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9" sqref="C9"/>
    </sheetView>
  </sheetViews>
  <sheetFormatPr defaultColWidth="11.421875" defaultRowHeight="12.75"/>
  <cols>
    <col min="1" max="1" width="2.57421875" style="0" customWidth="1"/>
    <col min="2" max="2" width="21.7109375" style="0" customWidth="1"/>
    <col min="4" max="8" width="9.28125" style="0" bestFit="1" customWidth="1"/>
    <col min="9" max="16384" width="9.140625" style="0" customWidth="1"/>
  </cols>
  <sheetData>
    <row r="1" ht="15">
      <c r="A1" s="78"/>
    </row>
    <row r="2" ht="15">
      <c r="A2" s="79" t="s">
        <v>212</v>
      </c>
    </row>
    <row r="5" spans="2:3" ht="15">
      <c r="B5" s="105" t="s">
        <v>213</v>
      </c>
      <c r="C5" s="106"/>
    </row>
    <row r="6" spans="2:9" ht="12.75">
      <c r="B6" s="46" t="s">
        <v>214</v>
      </c>
      <c r="C6" s="59" t="s">
        <v>440</v>
      </c>
      <c r="D6" s="109" t="s">
        <v>296</v>
      </c>
      <c r="E6" s="109" t="s">
        <v>92</v>
      </c>
      <c r="F6" t="s">
        <v>363</v>
      </c>
      <c r="G6" t="s">
        <v>365</v>
      </c>
      <c r="H6" t="s">
        <v>364</v>
      </c>
      <c r="I6" t="s">
        <v>407</v>
      </c>
    </row>
    <row r="7" spans="2:9" ht="12.75">
      <c r="B7" s="107" t="s">
        <v>253</v>
      </c>
      <c r="C7" s="129">
        <v>650</v>
      </c>
      <c r="D7" s="128">
        <v>1</v>
      </c>
      <c r="E7" s="128">
        <f>D7*C7</f>
        <v>650</v>
      </c>
      <c r="F7" s="128">
        <f>E7*12.5%</f>
        <v>81.25</v>
      </c>
      <c r="G7" s="128">
        <f>E7/12</f>
        <v>54.166666666666664</v>
      </c>
      <c r="H7" s="128">
        <f>40/12</f>
        <v>3.3333333333333335</v>
      </c>
      <c r="I7" s="128">
        <f>SUM(E7:H7)</f>
        <v>788.75</v>
      </c>
    </row>
    <row r="8" spans="2:9" ht="12.75">
      <c r="B8" s="108" t="s">
        <v>254</v>
      </c>
      <c r="C8" s="129">
        <v>250</v>
      </c>
      <c r="D8" s="128">
        <v>2</v>
      </c>
      <c r="E8" s="128">
        <f>D8*C8</f>
        <v>500</v>
      </c>
      <c r="F8" s="128">
        <f>E8*12.5%</f>
        <v>62.5</v>
      </c>
      <c r="G8" s="128">
        <f>E8/12</f>
        <v>41.666666666666664</v>
      </c>
      <c r="H8" s="128">
        <f>40/12</f>
        <v>3.3333333333333335</v>
      </c>
      <c r="I8" s="128">
        <f>SUM(E8:H8)</f>
        <v>607.5</v>
      </c>
    </row>
    <row r="9" spans="2:9" ht="12.75">
      <c r="B9" s="108" t="s">
        <v>255</v>
      </c>
      <c r="C9" s="129">
        <v>187.5</v>
      </c>
      <c r="D9" s="128">
        <v>3</v>
      </c>
      <c r="E9" s="128">
        <f>D9*C9</f>
        <v>562.5</v>
      </c>
      <c r="F9" s="128">
        <f>E9*12.5%</f>
        <v>70.3125</v>
      </c>
      <c r="G9" s="128">
        <f>E9/12</f>
        <v>46.875</v>
      </c>
      <c r="H9" s="128">
        <f>40/12</f>
        <v>3.3333333333333335</v>
      </c>
      <c r="I9" s="128">
        <f>SUM(E9:H9)</f>
        <v>683.0208333333334</v>
      </c>
    </row>
    <row r="10" spans="2:9" ht="12.75">
      <c r="B10" s="108" t="s">
        <v>366</v>
      </c>
      <c r="C10" s="129"/>
      <c r="D10" s="128"/>
      <c r="E10" s="128">
        <f>SUM(E7:E9)*10%</f>
        <v>171.25</v>
      </c>
      <c r="F10" s="128"/>
      <c r="G10" s="128"/>
      <c r="H10" s="128"/>
      <c r="I10" s="128">
        <f>SUM(E10:H10)</f>
        <v>171.25</v>
      </c>
    </row>
    <row r="11" spans="2:9" ht="12.75">
      <c r="B11" s="108" t="s">
        <v>215</v>
      </c>
      <c r="C11" s="129">
        <v>50</v>
      </c>
      <c r="D11" s="128">
        <f>SUM(D7:D9)</f>
        <v>6</v>
      </c>
      <c r="E11" s="128">
        <f>D11*C11</f>
        <v>300</v>
      </c>
      <c r="F11" s="128"/>
      <c r="G11" s="128"/>
      <c r="H11" s="128"/>
      <c r="I11" s="128">
        <f>SUM(E11:H11)</f>
        <v>300</v>
      </c>
    </row>
    <row r="12" spans="2:9" ht="12.75">
      <c r="B12" s="104" t="s">
        <v>92</v>
      </c>
      <c r="C12" s="130"/>
      <c r="D12" s="128"/>
      <c r="E12" s="143">
        <f>SUM(E7:E11)</f>
        <v>2183.75</v>
      </c>
      <c r="F12" s="143">
        <f>SUM(F7:F11)</f>
        <v>214.0625</v>
      </c>
      <c r="G12" s="143">
        <f>SUM(G7:G11)</f>
        <v>142.70833333333331</v>
      </c>
      <c r="H12" s="143">
        <f>SUM(H7:H11)</f>
        <v>10</v>
      </c>
      <c r="I12" s="143">
        <f>SUM(I7:I11)</f>
        <v>2550.5208333333335</v>
      </c>
    </row>
    <row r="13" ht="12.75">
      <c r="E13" s="2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Empacadora Nacional 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gfreire</dc:creator>
  <cp:keywords/>
  <dc:description/>
  <cp:lastModifiedBy>Usuario</cp:lastModifiedBy>
  <dcterms:created xsi:type="dcterms:W3CDTF">2007-06-13T23:38:20Z</dcterms:created>
  <dcterms:modified xsi:type="dcterms:W3CDTF">2007-08-05T19:16:38Z</dcterms:modified>
  <cp:category/>
  <cp:version/>
  <cp:contentType/>
  <cp:contentStatus/>
</cp:coreProperties>
</file>