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mortizacion" sheetId="1" r:id="rId1"/>
    <sheet name="Flujo" sheetId="2" r:id="rId2"/>
    <sheet name="P&amp;G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<sst xmlns="http://schemas.openxmlformats.org/spreadsheetml/2006/main" count="107" uniqueCount="65">
  <si>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Total</t>
  </si>
  <si>
    <t>Flujo de Caja Proyectado (en US$)</t>
  </si>
  <si>
    <t>Concepto</t>
  </si>
  <si>
    <t>MARGEN OPERACIONAL</t>
  </si>
  <si>
    <t>Gastos Administrativos</t>
  </si>
  <si>
    <t>FLUJO OPERACIONAL</t>
  </si>
  <si>
    <t>Otros Ingresos (Egresos)</t>
  </si>
  <si>
    <t>Saldo Minimo en Caja</t>
  </si>
  <si>
    <t>Imp. Renta y Part. Trabj.</t>
  </si>
  <si>
    <t>FLUJO DEL PROYECTO</t>
  </si>
  <si>
    <t>ESCUDO FISCAL G. FINAN.</t>
  </si>
  <si>
    <t>FINANCIAMIENTO:</t>
  </si>
  <si>
    <t>Aporte Capital</t>
  </si>
  <si>
    <t>Prestamos Concedidos</t>
  </si>
  <si>
    <t>FLUJO FINANCIERO</t>
  </si>
  <si>
    <t>Pago Principal</t>
  </si>
  <si>
    <t>Intereses</t>
  </si>
  <si>
    <t>TOTAL FLUJO FINANCIERO</t>
  </si>
  <si>
    <t>FLUJO DE LOS ACCIONISTAS</t>
  </si>
  <si>
    <t>VAN</t>
  </si>
  <si>
    <t>TIR</t>
  </si>
  <si>
    <t>Proyecto</t>
  </si>
  <si>
    <t>Accionistas</t>
  </si>
  <si>
    <t>Flujo Descontado</t>
  </si>
  <si>
    <t>Seminario de Evaluacion de Proyectos turisticos</t>
  </si>
  <si>
    <t>Inversiones (-)</t>
  </si>
  <si>
    <t>Ingresos por ventas (+)</t>
  </si>
  <si>
    <t>Egresos Operacionales (-)</t>
  </si>
  <si>
    <t>TABLA DE AMORTIZACION DE PRESTAMOS (En US$)</t>
  </si>
  <si>
    <t>PRESTAMO L/P</t>
  </si>
  <si>
    <t>Monto</t>
  </si>
  <si>
    <t>Plazo años</t>
  </si>
  <si>
    <t>Años de Gracia</t>
  </si>
  <si>
    <t>Interes</t>
  </si>
  <si>
    <t>Cuotas anuales</t>
  </si>
  <si>
    <t>Remanente Principal</t>
  </si>
  <si>
    <t>Pago Interes</t>
  </si>
  <si>
    <t>Valor Cuotas</t>
  </si>
  <si>
    <t>Proyecto XXXX</t>
  </si>
  <si>
    <t>r=</t>
  </si>
  <si>
    <t>*</t>
  </si>
  <si>
    <t>Flujo Acumulado</t>
  </si>
  <si>
    <t>Flujo Descontado Acumulado</t>
  </si>
  <si>
    <t>Estado de Perdidas y Ganancias Proyectado (en US$)</t>
  </si>
  <si>
    <t>Anexo # 5</t>
  </si>
  <si>
    <t>%/Vtas</t>
  </si>
  <si>
    <t>Ventas</t>
  </si>
  <si>
    <t>Costo de Venta</t>
  </si>
  <si>
    <t>Depreciacion</t>
  </si>
  <si>
    <t>MARGEN BRUTO</t>
  </si>
  <si>
    <t>Gastos Financieros</t>
  </si>
  <si>
    <t>Otros Egresos (Ingresos)</t>
  </si>
  <si>
    <t>Utilidad Antes de Impuestos</t>
  </si>
  <si>
    <t>Participacion Trabajadores</t>
  </si>
  <si>
    <t>Impuesto a la Renta</t>
  </si>
  <si>
    <t>UTILIDAD NETA</t>
  </si>
  <si>
    <t>Item 1</t>
  </si>
  <si>
    <t>Item 2</t>
  </si>
  <si>
    <t>Costo 1</t>
  </si>
  <si>
    <t>Costo 2</t>
  </si>
  <si>
    <t>Utilidad Antes Imp Sin Gtos Fin</t>
  </si>
  <si>
    <t>Utilidad Neta Sin Gastos Financieros</t>
  </si>
  <si>
    <t>Escudo Fiscal</t>
  </si>
  <si>
    <t>Periodo Recuperacion</t>
  </si>
  <si>
    <t>Periodo Recuperacion descontado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</si>
</sst>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[Red]_(* \(#,##0\);_(* &quot;-&quot;??_);_(@_)"/>
    <numFmt numFmtId="165" formatCode="0.0%"/>
    <numFmt numFmtId="166" formatCode="0.00000000000%"/>
    <numFmt numFmtId="167" formatCode="_(* #,##0.0_);[Red]_(* \(#,##0.0\);_(* &quot;-&quot;??_);_(@_)"/>
    <numFmt numFmtId="168" formatCode="_(* #,##0.00_);[Red]_(* \(#,##0.00\);_(* &quot;-&quot;??_);_(@_)"/>
    <numFmt numFmtId="169" formatCode=";;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b/>
      <u val="single"/>
      <sz val="12"/>
      <name val="Arial"/>
      <family val="2"/>
    </font>
    <font>
      <sz val="10"/>
      <color indexed="12"/>
      <name val="Arial Black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9" fontId="6" fillId="0" borderId="0" xfId="0" applyNumberFormat="1" applyFont="1" applyAlignment="1" applyProtection="1">
      <alignment/>
      <protection locked="0"/>
    </xf>
    <xf numFmtId="9" fontId="0" fillId="0" borderId="0" xfId="21" applyFont="1" applyAlignment="1" applyProtection="1">
      <alignment/>
      <protection/>
    </xf>
    <xf numFmtId="9" fontId="0" fillId="0" borderId="2" xfId="21" applyBorder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9" fontId="6" fillId="0" borderId="0" xfId="21" applyFont="1" applyAlignment="1" applyProtection="1">
      <alignment/>
      <protection locked="0"/>
    </xf>
    <xf numFmtId="164" fontId="6" fillId="0" borderId="0" xfId="0" applyNumberFormat="1" applyFont="1" applyAlignment="1">
      <alignment/>
    </xf>
    <xf numFmtId="0" fontId="0" fillId="0" borderId="0" xfId="0" applyAlignment="1" quotePrefix="1">
      <alignment horizontal="fill"/>
    </xf>
    <xf numFmtId="0" fontId="5" fillId="0" borderId="0" xfId="0" applyFont="1" applyAlignment="1">
      <alignment/>
    </xf>
    <xf numFmtId="168" fontId="0" fillId="0" borderId="9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1" xfId="0" applyFont="1" applyBorder="1" applyAlignment="1" quotePrefix="1">
      <alignment horizontal="center"/>
    </xf>
    <xf numFmtId="9" fontId="0" fillId="0" borderId="1" xfId="21" applyBorder="1" applyAlignment="1">
      <alignment/>
    </xf>
    <xf numFmtId="0" fontId="1" fillId="0" borderId="0" xfId="0" applyFont="1" applyAlignment="1">
      <alignment horizontal="center"/>
    </xf>
    <xf numFmtId="9" fontId="0" fillId="0" borderId="10" xfId="21" applyBorder="1" applyAlignment="1">
      <alignment/>
    </xf>
    <xf numFmtId="0" fontId="0" fillId="0" borderId="11" xfId="0" applyBorder="1" applyAlignment="1">
      <alignment/>
    </xf>
    <xf numFmtId="9" fontId="0" fillId="0" borderId="6" xfId="21" applyBorder="1" applyAlignment="1">
      <alignment/>
    </xf>
    <xf numFmtId="9" fontId="0" fillId="0" borderId="0" xfId="0" applyNumberFormat="1" applyFont="1" applyAlignment="1" applyProtection="1">
      <alignment/>
      <protection/>
    </xf>
    <xf numFmtId="9" fontId="0" fillId="0" borderId="8" xfId="21" applyBorder="1" applyAlignment="1">
      <alignment/>
    </xf>
    <xf numFmtId="164" fontId="0" fillId="0" borderId="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9" fontId="6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6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0" customWidth="1"/>
  </cols>
  <sheetData>
    <row r="1" ht="15">
      <c r="A1" s="1" t="str">
        <f>Flujo!A1</f>
        <v>Seminario de Evaluacion de Proyectos turisticos</v>
      </c>
    </row>
    <row r="2" ht="15">
      <c r="A2" s="1" t="str">
        <f>Flujo!A2</f>
        <v>Proyecto XXXX</v>
      </c>
    </row>
    <row r="3" ht="15">
      <c r="A3" s="26" t="s">
        <v>28</v>
      </c>
    </row>
    <row r="5" ht="15.75">
      <c r="K5" s="2"/>
    </row>
    <row r="8" spans="1:12" ht="12.75">
      <c r="A8" s="4" t="s">
        <v>29</v>
      </c>
      <c r="B8" s="5">
        <v>0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ht="12.75">
      <c r="A9" t="s">
        <v>30</v>
      </c>
      <c r="B9" s="9">
        <f>Flujo!C33</f>
        <v>2775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ht="12.75">
      <c r="A10" t="s">
        <v>31</v>
      </c>
      <c r="B10" s="27">
        <v>5</v>
      </c>
      <c r="C10">
        <f>+B10</f>
        <v>5</v>
      </c>
      <c r="D10">
        <f aca="true" t="shared" si="0" ref="D10:L13">+C10</f>
        <v>5</v>
      </c>
      <c r="E10">
        <f t="shared" si="0"/>
        <v>5</v>
      </c>
      <c r="F10">
        <f t="shared" si="0"/>
        <v>5</v>
      </c>
      <c r="G10">
        <f t="shared" si="0"/>
        <v>5</v>
      </c>
      <c r="H10">
        <f t="shared" si="0"/>
        <v>5</v>
      </c>
      <c r="I10">
        <f t="shared" si="0"/>
        <v>5</v>
      </c>
      <c r="J10">
        <f t="shared" si="0"/>
        <v>5</v>
      </c>
      <c r="K10">
        <f t="shared" si="0"/>
        <v>5</v>
      </c>
      <c r="L10">
        <f t="shared" si="0"/>
        <v>5</v>
      </c>
    </row>
    <row r="11" spans="1:12" ht="12.75">
      <c r="A11" t="s">
        <v>32</v>
      </c>
      <c r="B11" s="27">
        <v>1</v>
      </c>
      <c r="C11">
        <f>+B11</f>
        <v>1</v>
      </c>
      <c r="D11">
        <f t="shared" si="0"/>
        <v>1</v>
      </c>
      <c r="E11">
        <f t="shared" si="0"/>
        <v>1</v>
      </c>
      <c r="F11">
        <f t="shared" si="0"/>
        <v>1</v>
      </c>
      <c r="G11">
        <f t="shared" si="0"/>
        <v>1</v>
      </c>
      <c r="H11">
        <f t="shared" si="0"/>
        <v>1</v>
      </c>
      <c r="I11">
        <f t="shared" si="0"/>
        <v>1</v>
      </c>
      <c r="J11">
        <f t="shared" si="0"/>
        <v>1</v>
      </c>
      <c r="K11">
        <f t="shared" si="0"/>
        <v>1</v>
      </c>
      <c r="L11">
        <f t="shared" si="0"/>
        <v>1</v>
      </c>
    </row>
    <row r="12" spans="1:12" ht="12.75">
      <c r="A12" t="s">
        <v>33</v>
      </c>
      <c r="B12" s="28">
        <v>0.14</v>
      </c>
      <c r="C12" s="29">
        <f>+B12</f>
        <v>0.14</v>
      </c>
      <c r="D12" s="29">
        <f t="shared" si="0"/>
        <v>0.14</v>
      </c>
      <c r="E12" s="29">
        <f t="shared" si="0"/>
        <v>0.14</v>
      </c>
      <c r="F12" s="29">
        <f t="shared" si="0"/>
        <v>0.14</v>
      </c>
      <c r="G12" s="29">
        <f t="shared" si="0"/>
        <v>0.14</v>
      </c>
      <c r="H12" s="29">
        <f t="shared" si="0"/>
        <v>0.14</v>
      </c>
      <c r="I12" s="29">
        <f t="shared" si="0"/>
        <v>0.14</v>
      </c>
      <c r="J12" s="29">
        <f t="shared" si="0"/>
        <v>0.14</v>
      </c>
      <c r="K12" s="29">
        <f t="shared" si="0"/>
        <v>0.14</v>
      </c>
      <c r="L12" s="29">
        <f t="shared" si="0"/>
        <v>0.14</v>
      </c>
    </row>
    <row r="13" spans="1:12" ht="12.75">
      <c r="A13" t="s">
        <v>34</v>
      </c>
      <c r="B13" s="27">
        <v>1</v>
      </c>
      <c r="C13">
        <f>+B13</f>
        <v>1</v>
      </c>
      <c r="D13">
        <f t="shared" si="0"/>
        <v>1</v>
      </c>
      <c r="E13">
        <f t="shared" si="0"/>
        <v>1</v>
      </c>
      <c r="F13">
        <f t="shared" si="0"/>
        <v>1</v>
      </c>
      <c r="G13">
        <f t="shared" si="0"/>
        <v>1</v>
      </c>
      <c r="H13">
        <f t="shared" si="0"/>
        <v>1</v>
      </c>
      <c r="I13">
        <f t="shared" si="0"/>
        <v>1</v>
      </c>
      <c r="J13">
        <f t="shared" si="0"/>
        <v>1</v>
      </c>
      <c r="K13">
        <f t="shared" si="0"/>
        <v>1</v>
      </c>
      <c r="L13">
        <f t="shared" si="0"/>
        <v>1</v>
      </c>
    </row>
    <row r="14" spans="1:12" ht="12.75">
      <c r="A14" t="s">
        <v>35</v>
      </c>
      <c r="B14" s="9">
        <f>+B9</f>
        <v>2775</v>
      </c>
      <c r="C14" s="9">
        <f>+B14-C15</f>
        <v>2775</v>
      </c>
      <c r="D14" s="9">
        <f aca="true" t="shared" si="1" ref="D14:L14">+C14-D15</f>
        <v>2355.188158487355</v>
      </c>
      <c r="E14" s="9">
        <f t="shared" si="1"/>
        <v>1876.6026591629393</v>
      </c>
      <c r="F14" s="9">
        <f t="shared" si="1"/>
        <v>1331.0151899331056</v>
      </c>
      <c r="G14" s="9">
        <f t="shared" si="1"/>
        <v>709.045475011095</v>
      </c>
      <c r="H14" s="9">
        <f t="shared" si="1"/>
        <v>3.069544618483633E-12</v>
      </c>
      <c r="I14" s="9">
        <f t="shared" si="1"/>
        <v>3.069544618483633E-12</v>
      </c>
      <c r="J14" s="9">
        <f t="shared" si="1"/>
        <v>3.069544618483633E-12</v>
      </c>
      <c r="K14" s="9">
        <f t="shared" si="1"/>
        <v>3.069544618483633E-12</v>
      </c>
      <c r="L14" s="9">
        <f t="shared" si="1"/>
        <v>3.069544618483633E-12</v>
      </c>
    </row>
    <row r="15" spans="1:12" ht="12.75">
      <c r="A15" t="s">
        <v>15</v>
      </c>
      <c r="B15" s="15">
        <v>0</v>
      </c>
      <c r="C15" s="9">
        <f>IF(OR(C8&gt;C10+C11,C8&lt;=C11),0,C17-C16)</f>
        <v>0</v>
      </c>
      <c r="D15" s="9">
        <f aca="true" t="shared" si="2" ref="D15:L15">IF(OR(D8&gt;D10+D11,D8&lt;=D11),0,D17-D16)</f>
        <v>419.81184151264523</v>
      </c>
      <c r="E15" s="9">
        <f t="shared" si="2"/>
        <v>478.58549932441554</v>
      </c>
      <c r="F15" s="9">
        <f t="shared" si="2"/>
        <v>545.5874692298337</v>
      </c>
      <c r="G15" s="9">
        <f t="shared" si="2"/>
        <v>621.9697149220106</v>
      </c>
      <c r="H15" s="9">
        <f t="shared" si="2"/>
        <v>709.045475011092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1:12" ht="12.75">
      <c r="A16" t="s">
        <v>36</v>
      </c>
      <c r="B16" s="15">
        <v>0</v>
      </c>
      <c r="C16" s="9">
        <f>B14*B12</f>
        <v>388.50000000000006</v>
      </c>
      <c r="D16" s="9">
        <f aca="true" t="shared" si="3" ref="D16:L16">C14*C12</f>
        <v>388.50000000000006</v>
      </c>
      <c r="E16" s="9">
        <f t="shared" si="3"/>
        <v>329.72634218822975</v>
      </c>
      <c r="F16" s="9">
        <f t="shared" si="3"/>
        <v>262.72437228281154</v>
      </c>
      <c r="G16" s="9">
        <f t="shared" si="3"/>
        <v>186.3421265906348</v>
      </c>
      <c r="H16" s="9">
        <f t="shared" si="3"/>
        <v>99.26636650155332</v>
      </c>
      <c r="I16" s="9">
        <f t="shared" si="3"/>
        <v>4.297362465877086E-13</v>
      </c>
      <c r="J16" s="9">
        <f t="shared" si="3"/>
        <v>4.297362465877086E-13</v>
      </c>
      <c r="K16" s="9">
        <f t="shared" si="3"/>
        <v>4.297362465877086E-13</v>
      </c>
      <c r="L16" s="9">
        <f t="shared" si="3"/>
        <v>4.297362465877086E-13</v>
      </c>
    </row>
    <row r="17" spans="1:12" ht="12.75">
      <c r="A17" t="s">
        <v>37</v>
      </c>
      <c r="B17" s="15">
        <v>0</v>
      </c>
      <c r="C17" s="9">
        <f>IF(OR(C8&gt;C10+C11,C8&lt;=C11),0,PMT(B12,B10,-$B$9))</f>
        <v>0</v>
      </c>
      <c r="D17" s="9">
        <f aca="true" t="shared" si="4" ref="D17:L17">IF(OR(D8&gt;D10+D11,D8&lt;=D11),0,PMT(C12,C10,-$B$9))</f>
        <v>808.3118415126453</v>
      </c>
      <c r="E17" s="9">
        <f t="shared" si="4"/>
        <v>808.3118415126453</v>
      </c>
      <c r="F17" s="9">
        <f t="shared" si="4"/>
        <v>808.3118415126453</v>
      </c>
      <c r="G17" s="9">
        <f t="shared" si="4"/>
        <v>808.3118415126453</v>
      </c>
      <c r="H17" s="9">
        <f t="shared" si="4"/>
        <v>808.3118415126453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33">
      <selection activeCell="A44" sqref="A44"/>
    </sheetView>
  </sheetViews>
  <sheetFormatPr defaultColWidth="11.421875" defaultRowHeight="12.75"/>
  <cols>
    <col min="1" max="1" width="33.00390625" style="0" customWidth="1"/>
    <col min="3" max="13" width="11.57421875" style="0" bestFit="1" customWidth="1"/>
    <col min="14" max="14" width="11.8515625" style="0" bestFit="1" customWidth="1"/>
  </cols>
  <sheetData>
    <row r="1" ht="15">
      <c r="A1" s="26" t="s">
        <v>24</v>
      </c>
    </row>
    <row r="2" spans="1:13" ht="16.5">
      <c r="A2" s="26" t="s">
        <v>38</v>
      </c>
      <c r="M2" s="2"/>
    </row>
    <row r="3" ht="15">
      <c r="A3" s="3" t="s">
        <v>1</v>
      </c>
    </row>
    <row r="6" spans="1:14" ht="12.75">
      <c r="A6" s="4" t="s">
        <v>2</v>
      </c>
      <c r="C6" s="5">
        <v>0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6" t="s">
        <v>0</v>
      </c>
    </row>
    <row r="7" ht="12.75">
      <c r="N7" s="7"/>
    </row>
    <row r="8" spans="1:14" ht="12.75">
      <c r="A8" s="17" t="s">
        <v>25</v>
      </c>
      <c r="C8" s="16">
        <v>-4000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>SUM(C8:M8)</f>
        <v>-4000</v>
      </c>
    </row>
    <row r="9" spans="3:14" ht="12.7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/>
    </row>
    <row r="10" spans="1:14" ht="12.75">
      <c r="A10" s="10" t="s">
        <v>26</v>
      </c>
      <c r="C10" s="16">
        <v>0</v>
      </c>
      <c r="D10" s="16">
        <v>1900</v>
      </c>
      <c r="E10" s="16">
        <v>1900</v>
      </c>
      <c r="F10" s="16">
        <v>1900</v>
      </c>
      <c r="G10" s="16">
        <v>1900</v>
      </c>
      <c r="H10" s="16">
        <v>1900</v>
      </c>
      <c r="I10" s="16">
        <v>1900</v>
      </c>
      <c r="J10" s="16">
        <v>1900</v>
      </c>
      <c r="K10" s="16">
        <v>1900</v>
      </c>
      <c r="L10" s="16">
        <v>1900</v>
      </c>
      <c r="M10" s="16">
        <v>1900</v>
      </c>
      <c r="N10" s="18">
        <f>SUM(C10:M10)</f>
        <v>19000</v>
      </c>
    </row>
    <row r="11" spans="1:14" ht="12.75">
      <c r="A11" s="10" t="s">
        <v>27</v>
      </c>
      <c r="C11" s="16">
        <v>-500</v>
      </c>
      <c r="D11" s="16">
        <v>-500</v>
      </c>
      <c r="E11" s="16">
        <v>-500</v>
      </c>
      <c r="F11" s="16">
        <v>-500</v>
      </c>
      <c r="G11" s="16">
        <v>-500</v>
      </c>
      <c r="H11" s="16">
        <v>-500</v>
      </c>
      <c r="I11" s="16">
        <v>-500</v>
      </c>
      <c r="J11" s="16">
        <v>-500</v>
      </c>
      <c r="K11" s="16">
        <v>-500</v>
      </c>
      <c r="L11" s="16">
        <v>-500</v>
      </c>
      <c r="M11" s="16">
        <v>-500</v>
      </c>
      <c r="N11" s="18">
        <f>SUM(C11:M11)</f>
        <v>-5500</v>
      </c>
    </row>
    <row r="12" spans="3:14" ht="12.7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/>
    </row>
    <row r="13" spans="1:14" ht="12.75">
      <c r="A13" s="8" t="s">
        <v>3</v>
      </c>
      <c r="C13" s="19">
        <f>SUM(C10:C11)</f>
        <v>-500</v>
      </c>
      <c r="D13" s="19">
        <f aca="true" t="shared" si="0" ref="D13:N13">SUM(D10:D11)</f>
        <v>1400</v>
      </c>
      <c r="E13" s="19">
        <f t="shared" si="0"/>
        <v>1400</v>
      </c>
      <c r="F13" s="19">
        <f t="shared" si="0"/>
        <v>1400</v>
      </c>
      <c r="G13" s="19">
        <f t="shared" si="0"/>
        <v>1400</v>
      </c>
      <c r="H13" s="19">
        <f t="shared" si="0"/>
        <v>1400</v>
      </c>
      <c r="I13" s="19">
        <f t="shared" si="0"/>
        <v>1400</v>
      </c>
      <c r="J13" s="19">
        <f t="shared" si="0"/>
        <v>1400</v>
      </c>
      <c r="K13" s="19">
        <f t="shared" si="0"/>
        <v>1400</v>
      </c>
      <c r="L13" s="19">
        <f t="shared" si="0"/>
        <v>1400</v>
      </c>
      <c r="M13" s="19">
        <f t="shared" si="0"/>
        <v>1400</v>
      </c>
      <c r="N13" s="20">
        <f t="shared" si="0"/>
        <v>13500</v>
      </c>
    </row>
    <row r="14" spans="3:14" ht="12.7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</row>
    <row r="15" spans="1:14" ht="12.75">
      <c r="A15" t="s">
        <v>4</v>
      </c>
      <c r="C15" s="16">
        <v>-100</v>
      </c>
      <c r="D15" s="16">
        <v>-100</v>
      </c>
      <c r="E15" s="16">
        <v>-100</v>
      </c>
      <c r="F15" s="16">
        <v>-100</v>
      </c>
      <c r="G15" s="16">
        <v>-100</v>
      </c>
      <c r="H15" s="16">
        <v>-100</v>
      </c>
      <c r="I15" s="16">
        <v>-100</v>
      </c>
      <c r="J15" s="16">
        <v>-100</v>
      </c>
      <c r="K15" s="16">
        <v>-100</v>
      </c>
      <c r="L15" s="16">
        <v>-100</v>
      </c>
      <c r="M15" s="16">
        <v>-100</v>
      </c>
      <c r="N15" s="18">
        <f>SUM(C15:M15)</f>
        <v>-1100</v>
      </c>
    </row>
    <row r="16" spans="3:14" ht="12.7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</row>
    <row r="17" spans="1:14" ht="13.5" thickBot="1">
      <c r="A17" s="8" t="s">
        <v>5</v>
      </c>
      <c r="C17" s="21">
        <f>+C13+C15+C8</f>
        <v>-4600</v>
      </c>
      <c r="D17" s="21">
        <f aca="true" t="shared" si="1" ref="D17:M17">+D13+D15+D8</f>
        <v>1300</v>
      </c>
      <c r="E17" s="21">
        <f t="shared" si="1"/>
        <v>1300</v>
      </c>
      <c r="F17" s="21">
        <f t="shared" si="1"/>
        <v>1300</v>
      </c>
      <c r="G17" s="21">
        <f t="shared" si="1"/>
        <v>1300</v>
      </c>
      <c r="H17" s="21">
        <f t="shared" si="1"/>
        <v>1300</v>
      </c>
      <c r="I17" s="21">
        <f t="shared" si="1"/>
        <v>1300</v>
      </c>
      <c r="J17" s="21">
        <f t="shared" si="1"/>
        <v>1300</v>
      </c>
      <c r="K17" s="21">
        <f t="shared" si="1"/>
        <v>1300</v>
      </c>
      <c r="L17" s="21">
        <f t="shared" si="1"/>
        <v>1300</v>
      </c>
      <c r="M17" s="21">
        <f t="shared" si="1"/>
        <v>1300</v>
      </c>
      <c r="N17" s="22">
        <f>+N13+N15+N8</f>
        <v>8400</v>
      </c>
    </row>
    <row r="18" spans="3:14" ht="13.5" thickTop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</row>
    <row r="19" spans="1:14" ht="12.75">
      <c r="A19" t="s">
        <v>6</v>
      </c>
      <c r="C19" s="16"/>
      <c r="D19" s="16">
        <v>5</v>
      </c>
      <c r="E19" s="16">
        <v>-1500</v>
      </c>
      <c r="F19" s="16">
        <v>5</v>
      </c>
      <c r="G19" s="16">
        <v>5</v>
      </c>
      <c r="H19" s="16">
        <v>5</v>
      </c>
      <c r="I19" s="16">
        <v>5</v>
      </c>
      <c r="J19" s="16">
        <v>5</v>
      </c>
      <c r="K19" s="16">
        <v>5</v>
      </c>
      <c r="L19" s="16">
        <v>5</v>
      </c>
      <c r="M19" s="16"/>
      <c r="N19" s="18">
        <f>SUM(C19:M19)</f>
        <v>-1460</v>
      </c>
    </row>
    <row r="20" spans="1:14" ht="12.75">
      <c r="A20" t="s">
        <v>7</v>
      </c>
      <c r="B20" s="11">
        <v>0.05</v>
      </c>
      <c r="C20" s="16">
        <f>C11*$B$20</f>
        <v>-25</v>
      </c>
      <c r="D20" s="16">
        <f>D11*$B$20-SUM(C20:$C$20)</f>
        <v>0</v>
      </c>
      <c r="E20" s="16">
        <f>E11*$B$20-SUM($C20:D$20)</f>
        <v>0</v>
      </c>
      <c r="F20" s="16">
        <f>F11*$B$20-SUM($C20:E$20)</f>
        <v>0</v>
      </c>
      <c r="G20" s="16">
        <f>G11*$B$20-SUM($C20:F$20)</f>
        <v>0</v>
      </c>
      <c r="H20" s="16">
        <f>H11*$B$20-SUM($C20:G$20)</f>
        <v>0</v>
      </c>
      <c r="I20" s="16">
        <f>I11*$B$20-SUM($C20:H$20)</f>
        <v>0</v>
      </c>
      <c r="J20" s="16">
        <f>J11*$B$20-SUM($C20:I$20)</f>
        <v>0</v>
      </c>
      <c r="K20" s="16">
        <f>K11*$B$20-SUM($C20:J$20)</f>
        <v>0</v>
      </c>
      <c r="L20" s="16">
        <f>L11*$B$20-SUM($C20:K$20)</f>
        <v>0</v>
      </c>
      <c r="M20" s="16">
        <f>M11*$B$20-SUM($C20:L$20)</f>
        <v>0</v>
      </c>
      <c r="N20" s="18">
        <f>SUM(C20:M20)</f>
        <v>-25</v>
      </c>
    </row>
    <row r="21" spans="1:14" ht="12.75">
      <c r="A21" t="s">
        <v>8</v>
      </c>
      <c r="C21" s="16">
        <f>SUM('P&amp;G'!D37:D38)</f>
        <v>0</v>
      </c>
      <c r="D21" s="16">
        <f>SUM('P&amp;G'!E37:E38)</f>
        <v>328.0625</v>
      </c>
      <c r="E21" s="16">
        <f>SUM('P&amp;G'!F37:F38)</f>
        <v>0</v>
      </c>
      <c r="F21" s="16">
        <f>SUM('P&amp;G'!G37:G38)</f>
        <v>328.0625</v>
      </c>
      <c r="G21" s="16">
        <f>SUM('P&amp;G'!H37:H38)</f>
        <v>328.0625</v>
      </c>
      <c r="H21" s="16">
        <f>SUM('P&amp;G'!I37:I38)</f>
        <v>328.0625</v>
      </c>
      <c r="I21" s="16">
        <f>SUM('P&amp;G'!J37:J38)</f>
        <v>328.0625</v>
      </c>
      <c r="J21" s="16">
        <f>SUM('P&amp;G'!K37:K38)</f>
        <v>328.0625</v>
      </c>
      <c r="K21" s="16">
        <f>SUM('P&amp;G'!L37:L38)</f>
        <v>328.0625</v>
      </c>
      <c r="L21" s="16">
        <f>SUM('P&amp;G'!M37:M38)</f>
        <v>328.0625</v>
      </c>
      <c r="M21" s="16">
        <f>SUM('P&amp;G'!N37:N38)</f>
        <v>471.25</v>
      </c>
      <c r="N21" s="18">
        <f>SUM(C21:M21)</f>
        <v>3095.75</v>
      </c>
    </row>
    <row r="22" spans="3:14" ht="12.7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</row>
    <row r="23" spans="3:14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</row>
    <row r="24" spans="1:14" ht="13.5" thickBot="1">
      <c r="A24" s="8" t="s">
        <v>9</v>
      </c>
      <c r="C24" s="23">
        <f>+C17+SUM(C19:C21)</f>
        <v>-4625</v>
      </c>
      <c r="D24" s="23">
        <f aca="true" t="shared" si="2" ref="D24:N24">+D17+SUM(D19:D21)</f>
        <v>1633.0625</v>
      </c>
      <c r="E24" s="23">
        <f t="shared" si="2"/>
        <v>-200</v>
      </c>
      <c r="F24" s="23">
        <f t="shared" si="2"/>
        <v>1633.0625</v>
      </c>
      <c r="G24" s="23">
        <f t="shared" si="2"/>
        <v>1633.0625</v>
      </c>
      <c r="H24" s="23">
        <f t="shared" si="2"/>
        <v>1633.0625</v>
      </c>
      <c r="I24" s="23">
        <f t="shared" si="2"/>
        <v>1633.0625</v>
      </c>
      <c r="J24" s="23">
        <f t="shared" si="2"/>
        <v>1633.0625</v>
      </c>
      <c r="K24" s="23">
        <f t="shared" si="2"/>
        <v>1633.0625</v>
      </c>
      <c r="L24" s="23">
        <f t="shared" si="2"/>
        <v>1633.0625</v>
      </c>
      <c r="M24" s="23">
        <f t="shared" si="2"/>
        <v>1771.25</v>
      </c>
      <c r="N24" s="24">
        <f t="shared" si="2"/>
        <v>10010.75</v>
      </c>
    </row>
    <row r="25" spans="3:14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</row>
    <row r="26" spans="1:14" ht="12.75">
      <c r="A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</row>
    <row r="27" spans="3:14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</row>
    <row r="28" spans="1:14" ht="12.75">
      <c r="A28" s="8" t="s">
        <v>10</v>
      </c>
      <c r="C28" s="16">
        <f>'P&amp;G'!D40</f>
        <v>0</v>
      </c>
      <c r="D28" s="16">
        <f>'P&amp;G'!E40</f>
        <v>140.83125</v>
      </c>
      <c r="E28" s="16">
        <f>'P&amp;G'!F40</f>
        <v>0</v>
      </c>
      <c r="F28" s="16">
        <f>'P&amp;G'!G40</f>
        <v>124.85454904323325</v>
      </c>
      <c r="G28" s="16">
        <f>'P&amp;G'!H40</f>
        <v>95.23758495251923</v>
      </c>
      <c r="H28" s="16">
        <f>'P&amp;G'!I40</f>
        <v>67.54902088910512</v>
      </c>
      <c r="I28" s="16">
        <f>'P&amp;G'!J40</f>
        <v>35.98405785681308</v>
      </c>
      <c r="J28" s="16">
        <f>'P&amp;G'!K40</f>
        <v>0</v>
      </c>
      <c r="K28" s="16">
        <f>'P&amp;G'!L40</f>
        <v>0</v>
      </c>
      <c r="L28" s="16">
        <f>'P&amp;G'!M40</f>
        <v>0</v>
      </c>
      <c r="M28" s="16">
        <f>'P&amp;G'!N40</f>
        <v>0</v>
      </c>
      <c r="N28" s="18">
        <f>SUM(C28:M28)</f>
        <v>464.4564627416707</v>
      </c>
    </row>
    <row r="29" spans="3:14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</row>
    <row r="30" spans="1:14" ht="12.75">
      <c r="A30" s="8" t="s">
        <v>11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</row>
    <row r="31" spans="3:1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</row>
    <row r="32" spans="1:14" ht="12.75">
      <c r="A32" s="10" t="s">
        <v>12</v>
      </c>
      <c r="B32" s="30">
        <v>0.4</v>
      </c>
      <c r="C32" s="16">
        <f>-C24*B32</f>
        <v>1850</v>
      </c>
      <c r="D32" s="31">
        <v>0</v>
      </c>
      <c r="E32" s="31">
        <v>95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8">
        <f>SUM(C32:M32)</f>
        <v>1945</v>
      </c>
    </row>
    <row r="33" spans="1:14" ht="12.75">
      <c r="A33" t="s">
        <v>13</v>
      </c>
      <c r="B33" s="12">
        <f>1-B32</f>
        <v>0.6</v>
      </c>
      <c r="C33" s="16">
        <f>-C24-C32</f>
        <v>2775</v>
      </c>
      <c r="D33" s="16">
        <f>IF(D24&lt;0,-D24-D32,0)</f>
        <v>0</v>
      </c>
      <c r="E33" s="16">
        <f>IF(E24&lt;0,-E24-E32,0)</f>
        <v>105</v>
      </c>
      <c r="F33" s="16">
        <f aca="true" t="shared" si="3" ref="F33:M33">IF(F24&lt;0,-F24-F32,0)</f>
        <v>0</v>
      </c>
      <c r="G33" s="16">
        <f t="shared" si="3"/>
        <v>0</v>
      </c>
      <c r="H33" s="16">
        <f t="shared" si="3"/>
        <v>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8">
        <f>SUM(C33:M33)</f>
        <v>2880</v>
      </c>
    </row>
    <row r="34" spans="2:14" ht="12.75">
      <c r="B34" s="13">
        <f>SUM(B32:B33)</f>
        <v>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8"/>
    </row>
    <row r="35" spans="3:14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/>
    </row>
    <row r="36" spans="1:14" ht="12.75">
      <c r="A36" s="8" t="s">
        <v>14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/>
    </row>
    <row r="37" spans="1:14" ht="12.75">
      <c r="A37" t="s">
        <v>15</v>
      </c>
      <c r="C37" s="16">
        <v>0</v>
      </c>
      <c r="D37" s="16">
        <f>Amortizacion!C15</f>
        <v>0</v>
      </c>
      <c r="E37" s="16">
        <f>Amortizacion!D15-D39</f>
        <v>419.81184151264523</v>
      </c>
      <c r="F37" s="16">
        <f>Amortizacion!E15-E39</f>
        <v>583.5854993244155</v>
      </c>
      <c r="G37" s="16">
        <f>Amortizacion!F15-F39</f>
        <v>545.5874692298337</v>
      </c>
      <c r="H37" s="16">
        <f>Amortizacion!G15-G39</f>
        <v>621.9697149220106</v>
      </c>
      <c r="I37" s="16">
        <f>Amortizacion!H15-H39</f>
        <v>709.045475011092</v>
      </c>
      <c r="J37" s="16">
        <f>Amortizacion!I15-I39</f>
        <v>0</v>
      </c>
      <c r="K37" s="16">
        <f>Amortizacion!J15-J39</f>
        <v>0</v>
      </c>
      <c r="L37" s="16">
        <f>Amortizacion!K15-K39</f>
        <v>0</v>
      </c>
      <c r="M37" s="16">
        <f>Amortizacion!L15-L39</f>
        <v>0</v>
      </c>
      <c r="N37" s="18">
        <f>SUM(C37:M37)</f>
        <v>2879.9999999999973</v>
      </c>
    </row>
    <row r="38" spans="1:14" ht="12.75">
      <c r="A38" s="10" t="s">
        <v>16</v>
      </c>
      <c r="C38" s="16">
        <v>0</v>
      </c>
      <c r="D38" s="16">
        <f>Amortizacion!C16</f>
        <v>388.50000000000006</v>
      </c>
      <c r="E38" s="16">
        <f>Amortizacion!D16+D33*Amortizacion!$B$12</f>
        <v>388.50000000000006</v>
      </c>
      <c r="F38" s="16">
        <f>Amortizacion!E16+E33*Amortizacion!$B$12</f>
        <v>344.42634218822974</v>
      </c>
      <c r="G38" s="16">
        <f>Amortizacion!F16+F33*Amortizacion!$B$12</f>
        <v>262.72437228281154</v>
      </c>
      <c r="H38" s="16">
        <f>Amortizacion!G16+G33*Amortizacion!$B$12</f>
        <v>186.3421265906348</v>
      </c>
      <c r="I38" s="16">
        <f>Amortizacion!H16+H33*Amortizacion!$B$12</f>
        <v>99.26636650155332</v>
      </c>
      <c r="J38" s="16">
        <f>Amortizacion!I16+I33*Amortizacion!$B$12</f>
        <v>4.297362465877086E-13</v>
      </c>
      <c r="K38" s="16">
        <f>Amortizacion!J16+J33*Amortizacion!$B$12</f>
        <v>4.297362465877086E-13</v>
      </c>
      <c r="L38" s="16">
        <f>Amortizacion!K16+K33*Amortizacion!$B$12</f>
        <v>4.297362465877086E-13</v>
      </c>
      <c r="M38" s="16">
        <f>Amortizacion!L16+L33*Amortizacion!$B$12</f>
        <v>4.297362465877086E-13</v>
      </c>
      <c r="N38" s="18">
        <f>SUM(C38:M38)</f>
        <v>1669.7592075632315</v>
      </c>
    </row>
    <row r="39" spans="1:14" ht="12.75">
      <c r="A39" t="s">
        <v>13</v>
      </c>
      <c r="C39" s="16">
        <f>-C33</f>
        <v>-2775</v>
      </c>
      <c r="D39" s="16">
        <f aca="true" t="shared" si="4" ref="D39:M39">-D33</f>
        <v>0</v>
      </c>
      <c r="E39" s="16">
        <f t="shared" si="4"/>
        <v>-105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8">
        <f>SUM(C39:M39)</f>
        <v>-2880</v>
      </c>
    </row>
    <row r="40" spans="3:14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</row>
    <row r="41" spans="1:14" ht="12.75">
      <c r="A41" s="8" t="s">
        <v>17</v>
      </c>
      <c r="C41" s="19">
        <f>SUM(C37:C39)</f>
        <v>-2775</v>
      </c>
      <c r="D41" s="19">
        <f aca="true" t="shared" si="5" ref="D41:N41">SUM(D37:D39)</f>
        <v>388.50000000000006</v>
      </c>
      <c r="E41" s="19">
        <f t="shared" si="5"/>
        <v>703.3118415126453</v>
      </c>
      <c r="F41" s="19">
        <f t="shared" si="5"/>
        <v>928.0118415126453</v>
      </c>
      <c r="G41" s="19">
        <f t="shared" si="5"/>
        <v>808.3118415126453</v>
      </c>
      <c r="H41" s="19">
        <f t="shared" si="5"/>
        <v>808.3118415126453</v>
      </c>
      <c r="I41" s="19">
        <f t="shared" si="5"/>
        <v>808.3118415126453</v>
      </c>
      <c r="J41" s="19">
        <f t="shared" si="5"/>
        <v>4.297362465877086E-13</v>
      </c>
      <c r="K41" s="19">
        <f t="shared" si="5"/>
        <v>4.297362465877086E-13</v>
      </c>
      <c r="L41" s="19">
        <f t="shared" si="5"/>
        <v>4.297362465877086E-13</v>
      </c>
      <c r="M41" s="19">
        <f t="shared" si="5"/>
        <v>4.297362465877086E-13</v>
      </c>
      <c r="N41" s="20">
        <f t="shared" si="5"/>
        <v>1669.7592075632292</v>
      </c>
    </row>
    <row r="42" spans="3:14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/>
    </row>
    <row r="43" spans="1:14" ht="13.5" thickBot="1">
      <c r="A43" s="8" t="s">
        <v>18</v>
      </c>
      <c r="C43" s="23">
        <f>C24+C28-C41</f>
        <v>-1850</v>
      </c>
      <c r="D43" s="23">
        <f aca="true" t="shared" si="6" ref="D43:N43">D24+D28-D41</f>
        <v>1385.39375</v>
      </c>
      <c r="E43" s="23">
        <f t="shared" si="6"/>
        <v>-903.3118415126453</v>
      </c>
      <c r="F43" s="23">
        <f t="shared" si="6"/>
        <v>829.9052075305879</v>
      </c>
      <c r="G43" s="23">
        <f t="shared" si="6"/>
        <v>919.9882434398739</v>
      </c>
      <c r="H43" s="23">
        <f t="shared" si="6"/>
        <v>892.2996793764598</v>
      </c>
      <c r="I43" s="23">
        <f t="shared" si="6"/>
        <v>860.7347163441677</v>
      </c>
      <c r="J43" s="23">
        <f t="shared" si="6"/>
        <v>1633.0624999999995</v>
      </c>
      <c r="K43" s="23">
        <f t="shared" si="6"/>
        <v>1633.0624999999995</v>
      </c>
      <c r="L43" s="23">
        <f t="shared" si="6"/>
        <v>1633.0624999999995</v>
      </c>
      <c r="M43" s="23">
        <f t="shared" si="6"/>
        <v>1771.2499999999995</v>
      </c>
      <c r="N43" s="24">
        <f t="shared" si="6"/>
        <v>8805.447255178442</v>
      </c>
    </row>
    <row r="45" ht="13.5" thickBot="1"/>
    <row r="46" spans="1:3" ht="12.75">
      <c r="A46" s="53" t="s">
        <v>39</v>
      </c>
      <c r="B46" s="54">
        <v>0.16</v>
      </c>
      <c r="C46" s="55"/>
    </row>
    <row r="47" spans="1:3" ht="12.75">
      <c r="A47" s="56"/>
      <c r="B47" s="57" t="s">
        <v>21</v>
      </c>
      <c r="C47" s="58" t="s">
        <v>22</v>
      </c>
    </row>
    <row r="48" spans="1:3" ht="12.75">
      <c r="A48" s="56" t="s">
        <v>19</v>
      </c>
      <c r="B48" s="59">
        <f>NPV(B46,D24:M24)+C24</f>
        <v>1937.0233437109273</v>
      </c>
      <c r="C48" s="60">
        <f>NPV(B46,D43:M43)+C43</f>
        <v>2397.784308337781</v>
      </c>
    </row>
    <row r="49" spans="1:3" ht="12.75">
      <c r="A49" s="56" t="s">
        <v>20</v>
      </c>
      <c r="B49" s="61">
        <f>IRR(C24:M24)</f>
        <v>0.2530043404578524</v>
      </c>
      <c r="C49" s="62">
        <f>IRR(C43:M43)</f>
        <v>0.3815259729307776</v>
      </c>
    </row>
    <row r="50" spans="1:3" ht="12.75">
      <c r="A50" s="56" t="s">
        <v>63</v>
      </c>
      <c r="B50" s="63" t="str">
        <f>TEXT(SUM(D54:M54),0)&amp;" Años"</f>
        <v>4 Años</v>
      </c>
      <c r="C50" s="64" t="str">
        <f>TEXT(SUM(D59:M59),0)&amp;" Años"</f>
        <v>4 Años</v>
      </c>
    </row>
    <row r="51" spans="1:3" ht="13.5" thickBot="1">
      <c r="A51" s="65" t="s">
        <v>64</v>
      </c>
      <c r="B51" s="66" t="str">
        <f>TEXT(SUM(D58:M58),0)&amp;" Años"</f>
        <v>6 Años</v>
      </c>
      <c r="C51" s="67" t="str">
        <f>TEXT(SUM(D63:M63),0)&amp;" Años"</f>
        <v>5 Años</v>
      </c>
    </row>
    <row r="53" spans="1:14" ht="12.75">
      <c r="A53" s="32" t="s">
        <v>40</v>
      </c>
      <c r="B53" s="32" t="s">
        <v>40</v>
      </c>
      <c r="C53" s="32" t="s">
        <v>40</v>
      </c>
      <c r="D53" s="32" t="s">
        <v>40</v>
      </c>
      <c r="E53" s="32" t="s">
        <v>40</v>
      </c>
      <c r="F53" s="32" t="s">
        <v>40</v>
      </c>
      <c r="G53" s="32" t="s">
        <v>40</v>
      </c>
      <c r="H53" s="32" t="s">
        <v>40</v>
      </c>
      <c r="I53" s="32" t="s">
        <v>40</v>
      </c>
      <c r="J53" s="32" t="s">
        <v>40</v>
      </c>
      <c r="K53" s="32" t="s">
        <v>40</v>
      </c>
      <c r="L53" s="32" t="s">
        <v>40</v>
      </c>
      <c r="M53" s="32" t="s">
        <v>40</v>
      </c>
      <c r="N53" s="32" t="s">
        <v>40</v>
      </c>
    </row>
    <row r="54" spans="1:14" ht="12.75">
      <c r="A54" s="33" t="s">
        <v>21</v>
      </c>
      <c r="B54" s="32"/>
      <c r="C54" s="32"/>
      <c r="D54" s="52">
        <f>IF(AND(C55&lt;0,D55&gt;=0),D$6,0)</f>
        <v>0</v>
      </c>
      <c r="E54" s="52">
        <f aca="true" t="shared" si="7" ref="E54:M54">IF(AND(D55&lt;0,E55&gt;=0),E$6,0)</f>
        <v>0</v>
      </c>
      <c r="F54" s="52">
        <f t="shared" si="7"/>
        <v>0</v>
      </c>
      <c r="G54" s="52">
        <f t="shared" si="7"/>
        <v>4</v>
      </c>
      <c r="H54" s="52">
        <f t="shared" si="7"/>
        <v>0</v>
      </c>
      <c r="I54" s="52">
        <f t="shared" si="7"/>
        <v>0</v>
      </c>
      <c r="J54" s="52">
        <f t="shared" si="7"/>
        <v>0</v>
      </c>
      <c r="K54" s="52">
        <f t="shared" si="7"/>
        <v>0</v>
      </c>
      <c r="L54" s="52">
        <f t="shared" si="7"/>
        <v>0</v>
      </c>
      <c r="M54" s="52">
        <f t="shared" si="7"/>
        <v>0</v>
      </c>
      <c r="N54" s="32"/>
    </row>
    <row r="55" spans="1:14" ht="13.5" thickBot="1">
      <c r="A55" s="10" t="s">
        <v>41</v>
      </c>
      <c r="C55" s="49">
        <f>C24</f>
        <v>-4625</v>
      </c>
      <c r="D55" s="49">
        <f>C55+D24</f>
        <v>-2991.9375</v>
      </c>
      <c r="E55" s="49">
        <f aca="true" t="shared" si="8" ref="E55:M55">D55+E24</f>
        <v>-3191.9375</v>
      </c>
      <c r="F55" s="49">
        <f t="shared" si="8"/>
        <v>-1558.875</v>
      </c>
      <c r="G55" s="49">
        <f t="shared" si="8"/>
        <v>74.1875</v>
      </c>
      <c r="H55" s="49">
        <f t="shared" si="8"/>
        <v>1707.25</v>
      </c>
      <c r="I55" s="49">
        <f t="shared" si="8"/>
        <v>3340.3125</v>
      </c>
      <c r="J55" s="49">
        <f t="shared" si="8"/>
        <v>4973.375</v>
      </c>
      <c r="K55" s="49">
        <f t="shared" si="8"/>
        <v>6606.4375</v>
      </c>
      <c r="L55" s="49">
        <f t="shared" si="8"/>
        <v>8239.5</v>
      </c>
      <c r="M55" s="49">
        <f t="shared" si="8"/>
        <v>10010.75</v>
      </c>
      <c r="N55" s="32"/>
    </row>
    <row r="56" spans="1:13" ht="13.5" thickBot="1">
      <c r="A56" s="10" t="s">
        <v>23</v>
      </c>
      <c r="B56" s="34">
        <f>SUM(C56:M56)</f>
        <v>1937.0233437109273</v>
      </c>
      <c r="C56" s="51">
        <f>C24/(1+$B$46)^C6</f>
        <v>-4625</v>
      </c>
      <c r="D56" s="51">
        <f aca="true" t="shared" si="9" ref="D56:M56">D24/(1+$B$46)^D6</f>
        <v>1407.8125</v>
      </c>
      <c r="E56" s="51">
        <f t="shared" si="9"/>
        <v>-148.63258026159335</v>
      </c>
      <c r="F56" s="51">
        <f t="shared" si="9"/>
        <v>1046.234021997622</v>
      </c>
      <c r="G56" s="51">
        <f t="shared" si="9"/>
        <v>901.9258810324328</v>
      </c>
      <c r="H56" s="51">
        <f t="shared" si="9"/>
        <v>777.5223112348559</v>
      </c>
      <c r="I56" s="51">
        <f t="shared" si="9"/>
        <v>670.2778545128068</v>
      </c>
      <c r="J56" s="51">
        <f t="shared" si="9"/>
        <v>577.8257366489714</v>
      </c>
      <c r="K56" s="51">
        <f t="shared" si="9"/>
        <v>498.12563504221674</v>
      </c>
      <c r="L56" s="51">
        <f t="shared" si="9"/>
        <v>429.4186508984628</v>
      </c>
      <c r="M56" s="51">
        <f t="shared" si="9"/>
        <v>401.51333260515247</v>
      </c>
    </row>
    <row r="57" spans="1:13" ht="12.75">
      <c r="A57" s="10" t="s">
        <v>42</v>
      </c>
      <c r="C57" s="50">
        <f>C56</f>
        <v>-4625</v>
      </c>
      <c r="D57" s="50">
        <f>C57+D56</f>
        <v>-3217.1875</v>
      </c>
      <c r="E57" s="50">
        <f aca="true" t="shared" si="10" ref="E57:M57">D57+E56</f>
        <v>-3365.8200802615934</v>
      </c>
      <c r="F57" s="50">
        <f t="shared" si="10"/>
        <v>-2319.5860582639716</v>
      </c>
      <c r="G57" s="50">
        <f t="shared" si="10"/>
        <v>-1417.660177231539</v>
      </c>
      <c r="H57" s="50">
        <f t="shared" si="10"/>
        <v>-640.137865996683</v>
      </c>
      <c r="I57" s="50">
        <f t="shared" si="10"/>
        <v>30.13998851612382</v>
      </c>
      <c r="J57" s="50">
        <f t="shared" si="10"/>
        <v>607.9657251650953</v>
      </c>
      <c r="K57" s="50">
        <f t="shared" si="10"/>
        <v>1106.091360207312</v>
      </c>
      <c r="L57" s="50">
        <f t="shared" si="10"/>
        <v>1535.5100111057748</v>
      </c>
      <c r="M57" s="50">
        <f t="shared" si="10"/>
        <v>1937.0233437109273</v>
      </c>
    </row>
    <row r="58" spans="4:13" ht="12.75">
      <c r="D58" s="52">
        <f>IF(AND(C57&lt;0,D57&gt;=0),D$6,0)</f>
        <v>0</v>
      </c>
      <c r="E58" s="52">
        <f aca="true" t="shared" si="11" ref="E58:M58">IF(AND(D57&lt;0,E57&gt;=0),E$6,0)</f>
        <v>0</v>
      </c>
      <c r="F58" s="52">
        <f t="shared" si="11"/>
        <v>0</v>
      </c>
      <c r="G58" s="52">
        <f t="shared" si="11"/>
        <v>0</v>
      </c>
      <c r="H58" s="52">
        <f t="shared" si="11"/>
        <v>0</v>
      </c>
      <c r="I58" s="52">
        <f t="shared" si="11"/>
        <v>6</v>
      </c>
      <c r="J58" s="52">
        <f t="shared" si="11"/>
        <v>0</v>
      </c>
      <c r="K58" s="52">
        <f t="shared" si="11"/>
        <v>0</v>
      </c>
      <c r="L58" s="52">
        <f t="shared" si="11"/>
        <v>0</v>
      </c>
      <c r="M58" s="52">
        <f t="shared" si="11"/>
        <v>0</v>
      </c>
    </row>
    <row r="59" spans="1:13" ht="12.75">
      <c r="A59" s="35" t="s">
        <v>22</v>
      </c>
      <c r="D59" s="52">
        <f>IF(AND(C60&lt;0,D60&gt;=0),D$6,0)</f>
        <v>0</v>
      </c>
      <c r="E59" s="52">
        <f>IF(AND(D60&lt;0,E60&gt;=0),E$6,0)</f>
        <v>0</v>
      </c>
      <c r="F59" s="52">
        <f>IF(AND(E60&lt;0,F60&gt;=0),F$6,0)</f>
        <v>0</v>
      </c>
      <c r="G59" s="52">
        <f>IF(AND(F60&lt;0,G60&gt;=0),G$6,0)</f>
        <v>4</v>
      </c>
      <c r="H59" s="52">
        <f>IF(AND(G60&lt;0,H60&gt;=0),H$6,0)</f>
        <v>0</v>
      </c>
      <c r="I59" s="52">
        <f>IF(AND(H60&lt;0,I60&gt;=0),I$6,0)</f>
        <v>0</v>
      </c>
      <c r="J59" s="52">
        <f>IF(AND(I60&lt;0,J60&gt;=0),J$6,0)</f>
        <v>0</v>
      </c>
      <c r="K59" s="52">
        <f>IF(AND(J60&lt;0,K60&gt;=0),K$6,0)</f>
        <v>0</v>
      </c>
      <c r="L59" s="52">
        <f>IF(AND(K60&lt;0,L60&gt;=0),L$6,0)</f>
        <v>0</v>
      </c>
      <c r="M59" s="52">
        <f>IF(AND(L60&lt;0,M60&gt;=0),M$6,0)</f>
        <v>0</v>
      </c>
    </row>
    <row r="60" spans="1:13" ht="13.5" thickBot="1">
      <c r="A60" s="10" t="s">
        <v>41</v>
      </c>
      <c r="C60" s="50">
        <f>C43</f>
        <v>-1850</v>
      </c>
      <c r="D60" s="50">
        <f>C60+D43</f>
        <v>-464.60625000000005</v>
      </c>
      <c r="E60" s="50">
        <f aca="true" t="shared" si="12" ref="E60:M60">D60+E43</f>
        <v>-1367.9180915126453</v>
      </c>
      <c r="F60" s="50">
        <f t="shared" si="12"/>
        <v>-538.0128839820575</v>
      </c>
      <c r="G60" s="50">
        <f t="shared" si="12"/>
        <v>381.97535945781647</v>
      </c>
      <c r="H60" s="50">
        <f t="shared" si="12"/>
        <v>1274.2750388342763</v>
      </c>
      <c r="I60" s="50">
        <f t="shared" si="12"/>
        <v>2135.009755178444</v>
      </c>
      <c r="J60" s="50">
        <f t="shared" si="12"/>
        <v>3768.0722551784434</v>
      </c>
      <c r="K60" s="50">
        <f t="shared" si="12"/>
        <v>5401.134755178443</v>
      </c>
      <c r="L60" s="50">
        <f t="shared" si="12"/>
        <v>7034.197255178442</v>
      </c>
      <c r="M60" s="50">
        <f t="shared" si="12"/>
        <v>8805.447255178442</v>
      </c>
    </row>
    <row r="61" spans="1:13" ht="13.5" thickBot="1">
      <c r="A61" s="10" t="s">
        <v>23</v>
      </c>
      <c r="B61" s="34">
        <f>SUM(C61:M61)</f>
        <v>2397.784308337782</v>
      </c>
      <c r="C61" s="51">
        <f>C43/(1+$B$46)^C6</f>
        <v>-1850</v>
      </c>
      <c r="D61" s="51">
        <f aca="true" t="shared" si="13" ref="D61:M61">D43/(1+$B$46)^D6</f>
        <v>1194.3049568965519</v>
      </c>
      <c r="E61" s="51">
        <f t="shared" si="13"/>
        <v>-671.3078489243798</v>
      </c>
      <c r="F61" s="51">
        <f t="shared" si="13"/>
        <v>531.6851395163983</v>
      </c>
      <c r="G61" s="51">
        <f t="shared" si="13"/>
        <v>508.10131700653744</v>
      </c>
      <c r="H61" s="51">
        <f t="shared" si="13"/>
        <v>424.8354910010523</v>
      </c>
      <c r="I61" s="51">
        <f t="shared" si="13"/>
        <v>353.28189764681883</v>
      </c>
      <c r="J61" s="51">
        <f t="shared" si="13"/>
        <v>577.8257366489713</v>
      </c>
      <c r="K61" s="51">
        <f t="shared" si="13"/>
        <v>498.12563504221663</v>
      </c>
      <c r="L61" s="51">
        <f t="shared" si="13"/>
        <v>429.4186508984626</v>
      </c>
      <c r="M61" s="51">
        <f t="shared" si="13"/>
        <v>401.5133326051524</v>
      </c>
    </row>
    <row r="62" spans="1:13" ht="12.75">
      <c r="A62" s="10" t="s">
        <v>42</v>
      </c>
      <c r="C62" s="50">
        <f>C61</f>
        <v>-1850</v>
      </c>
      <c r="D62" s="50">
        <f aca="true" t="shared" si="14" ref="D62:M62">C62+D61</f>
        <v>-655.6950431034481</v>
      </c>
      <c r="E62" s="50">
        <f t="shared" si="14"/>
        <v>-1327.0028920278278</v>
      </c>
      <c r="F62" s="50">
        <f t="shared" si="14"/>
        <v>-795.3177525114295</v>
      </c>
      <c r="G62" s="50">
        <f t="shared" si="14"/>
        <v>-287.21643550489205</v>
      </c>
      <c r="H62" s="50">
        <f t="shared" si="14"/>
        <v>137.61905549616023</v>
      </c>
      <c r="I62" s="50">
        <f t="shared" si="14"/>
        <v>490.90095314297906</v>
      </c>
      <c r="J62" s="50">
        <f t="shared" si="14"/>
        <v>1068.7266897919503</v>
      </c>
      <c r="K62" s="50">
        <f t="shared" si="14"/>
        <v>1566.852324834167</v>
      </c>
      <c r="L62" s="50">
        <f t="shared" si="14"/>
        <v>1996.2709757326295</v>
      </c>
      <c r="M62" s="50">
        <f t="shared" si="14"/>
        <v>2397.784308337782</v>
      </c>
    </row>
    <row r="63" spans="4:13" ht="12.75">
      <c r="D63" s="52">
        <f>IF(AND(C62&lt;0,D62&gt;=0),D$6,0)</f>
        <v>0</v>
      </c>
      <c r="E63" s="52">
        <f>IF(AND(D62&lt;0,E62&gt;=0),E$6,0)</f>
        <v>0</v>
      </c>
      <c r="F63" s="52">
        <f>IF(AND(E62&lt;0,F62&gt;=0),F$6,0)</f>
        <v>0</v>
      </c>
      <c r="G63" s="52">
        <f>IF(AND(F62&lt;0,G62&gt;=0),G$6,0)</f>
        <v>0</v>
      </c>
      <c r="H63" s="52">
        <f>IF(AND(G62&lt;0,H62&gt;=0),H$6,0)</f>
        <v>5</v>
      </c>
      <c r="I63" s="52">
        <f>IF(AND(H62&lt;0,I62&gt;=0),I$6,0)</f>
        <v>0</v>
      </c>
      <c r="J63" s="52">
        <f>IF(AND(I62&lt;0,J62&gt;=0),J$6,0)</f>
        <v>0</v>
      </c>
      <c r="K63" s="52">
        <f>IF(AND(J62&lt;0,K62&gt;=0),K$6,0)</f>
        <v>0</v>
      </c>
      <c r="L63" s="52">
        <f>IF(AND(K62&lt;0,L62&gt;=0),L$6,0)</f>
        <v>0</v>
      </c>
      <c r="M63" s="52">
        <f>IF(AND(L62&lt;0,M62&gt;=0),M$6,0)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5">
      <selection activeCell="E37" sqref="E37:E38"/>
    </sheetView>
  </sheetViews>
  <sheetFormatPr defaultColWidth="11.421875" defaultRowHeight="12.75"/>
  <cols>
    <col min="4" max="14" width="11.57421875" style="0" bestFit="1" customWidth="1"/>
    <col min="15" max="15" width="11.8515625" style="0" bestFit="1" customWidth="1"/>
  </cols>
  <sheetData>
    <row r="1" ht="15">
      <c r="A1" s="1" t="str">
        <f>Flujo!A1</f>
        <v>Seminario de Evaluacion de Proyectos turisticos</v>
      </c>
    </row>
    <row r="2" ht="15">
      <c r="A2" s="1" t="str">
        <f>Flujo!A2</f>
        <v>Proyecto XXXX</v>
      </c>
    </row>
    <row r="3" spans="1:15" ht="16.5">
      <c r="A3" s="36" t="s">
        <v>43</v>
      </c>
      <c r="O3" s="2" t="s">
        <v>44</v>
      </c>
    </row>
    <row r="4" ht="15">
      <c r="A4" s="37"/>
    </row>
    <row r="6" spans="1:16" ht="12.75">
      <c r="A6" s="14"/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38" t="s">
        <v>0</v>
      </c>
      <c r="P6" s="6" t="s">
        <v>45</v>
      </c>
    </row>
    <row r="7" spans="15:16" ht="12.75">
      <c r="O7" s="7"/>
      <c r="P7" s="7"/>
    </row>
    <row r="8" spans="1:16" ht="12.75">
      <c r="A8" s="4" t="s">
        <v>46</v>
      </c>
      <c r="O8" s="7"/>
      <c r="P8" s="7"/>
    </row>
    <row r="9" spans="1:16" ht="12.75">
      <c r="A9" s="4"/>
      <c r="B9" t="s">
        <v>56</v>
      </c>
      <c r="D9" s="31">
        <v>0</v>
      </c>
      <c r="E9" s="31">
        <v>1000</v>
      </c>
      <c r="F9" s="31">
        <v>1000</v>
      </c>
      <c r="G9" s="31">
        <v>1000</v>
      </c>
      <c r="H9" s="31">
        <v>1000</v>
      </c>
      <c r="I9" s="31">
        <v>1000</v>
      </c>
      <c r="J9" s="31">
        <v>1000</v>
      </c>
      <c r="K9" s="31">
        <v>1000</v>
      </c>
      <c r="L9" s="31">
        <v>1000</v>
      </c>
      <c r="M9" s="31">
        <v>1000</v>
      </c>
      <c r="N9" s="31">
        <v>1000</v>
      </c>
      <c r="O9" s="18">
        <f>SUM(D9:N9)</f>
        <v>10000</v>
      </c>
      <c r="P9" s="39">
        <f>+O9/$O$11</f>
        <v>0.5263157894736842</v>
      </c>
    </row>
    <row r="10" spans="1:16" ht="12.75">
      <c r="A10" s="4"/>
      <c r="B10" t="s">
        <v>57</v>
      </c>
      <c r="D10" s="31">
        <v>0</v>
      </c>
      <c r="E10" s="31">
        <v>900</v>
      </c>
      <c r="F10" s="31">
        <v>900</v>
      </c>
      <c r="G10" s="31">
        <v>900</v>
      </c>
      <c r="H10" s="31">
        <v>900</v>
      </c>
      <c r="I10" s="31">
        <v>900</v>
      </c>
      <c r="J10" s="31">
        <v>900</v>
      </c>
      <c r="K10" s="31">
        <v>900</v>
      </c>
      <c r="L10" s="31">
        <v>900</v>
      </c>
      <c r="M10" s="31">
        <v>900</v>
      </c>
      <c r="N10" s="31">
        <v>900</v>
      </c>
      <c r="O10" s="18">
        <f>SUM(D10:N10)</f>
        <v>9000</v>
      </c>
      <c r="P10" s="39">
        <f>+O10/$O$11</f>
        <v>0.47368421052631576</v>
      </c>
    </row>
    <row r="11" spans="2:16" ht="13.5" thickBot="1">
      <c r="B11" s="40" t="s">
        <v>0</v>
      </c>
      <c r="D11" s="21">
        <f>SUM(D9:D10)</f>
        <v>0</v>
      </c>
      <c r="E11" s="21">
        <f aca="true" t="shared" si="0" ref="E11:N11">SUM(E9:E10)</f>
        <v>1900</v>
      </c>
      <c r="F11" s="21">
        <f t="shared" si="0"/>
        <v>1900</v>
      </c>
      <c r="G11" s="21">
        <f t="shared" si="0"/>
        <v>1900</v>
      </c>
      <c r="H11" s="21">
        <f t="shared" si="0"/>
        <v>1900</v>
      </c>
      <c r="I11" s="21">
        <f t="shared" si="0"/>
        <v>1900</v>
      </c>
      <c r="J11" s="21">
        <f t="shared" si="0"/>
        <v>1900</v>
      </c>
      <c r="K11" s="21">
        <f t="shared" si="0"/>
        <v>1900</v>
      </c>
      <c r="L11" s="21">
        <f t="shared" si="0"/>
        <v>1900</v>
      </c>
      <c r="M11" s="21">
        <f t="shared" si="0"/>
        <v>1900</v>
      </c>
      <c r="N11" s="21">
        <f t="shared" si="0"/>
        <v>1900</v>
      </c>
      <c r="O11" s="22">
        <f>SUM(D11:N11)</f>
        <v>19000</v>
      </c>
      <c r="P11" s="43">
        <f>+O11/$O$11</f>
        <v>1</v>
      </c>
    </row>
    <row r="12" spans="4:16" ht="13.5" thickTop="1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  <c r="P12" s="7"/>
    </row>
    <row r="13" spans="1:16" ht="12.75">
      <c r="A13" s="4" t="s">
        <v>47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  <c r="P13" s="7"/>
    </row>
    <row r="14" spans="2:16" ht="12.75">
      <c r="B14" t="s">
        <v>58</v>
      </c>
      <c r="D14" s="31">
        <v>300</v>
      </c>
      <c r="E14" s="31">
        <v>300</v>
      </c>
      <c r="F14" s="31">
        <v>300</v>
      </c>
      <c r="G14" s="31">
        <v>300</v>
      </c>
      <c r="H14" s="31">
        <v>300</v>
      </c>
      <c r="I14" s="31">
        <v>300</v>
      </c>
      <c r="J14" s="31">
        <v>300</v>
      </c>
      <c r="K14" s="31">
        <v>300</v>
      </c>
      <c r="L14" s="31">
        <v>300</v>
      </c>
      <c r="M14" s="31">
        <v>300</v>
      </c>
      <c r="N14" s="31">
        <v>300</v>
      </c>
      <c r="O14" s="18">
        <f>SUM(D14:N14)</f>
        <v>3300</v>
      </c>
      <c r="P14" s="39">
        <f>+O14/$O$11</f>
        <v>0.1736842105263158</v>
      </c>
    </row>
    <row r="15" spans="2:16" ht="12.75">
      <c r="B15" t="s">
        <v>59</v>
      </c>
      <c r="D15" s="31">
        <v>200</v>
      </c>
      <c r="E15" s="31">
        <v>200</v>
      </c>
      <c r="F15" s="31">
        <v>200</v>
      </c>
      <c r="G15" s="31">
        <v>200</v>
      </c>
      <c r="H15" s="31">
        <v>200</v>
      </c>
      <c r="I15" s="31">
        <v>200</v>
      </c>
      <c r="J15" s="31">
        <v>200</v>
      </c>
      <c r="K15" s="31">
        <v>200</v>
      </c>
      <c r="L15" s="31">
        <v>200</v>
      </c>
      <c r="M15" s="31">
        <v>200</v>
      </c>
      <c r="N15" s="31">
        <v>200</v>
      </c>
      <c r="O15" s="18">
        <f>SUM(D15:N15)</f>
        <v>2200</v>
      </c>
      <c r="P15" s="39">
        <f>+O15/$O$11</f>
        <v>0.11578947368421053</v>
      </c>
    </row>
    <row r="16" spans="2:16" ht="12.75">
      <c r="B16" t="s">
        <v>48</v>
      </c>
      <c r="D16" s="31">
        <f>4000/10</f>
        <v>400</v>
      </c>
      <c r="E16" s="31">
        <f aca="true" t="shared" si="1" ref="E16:M16">4000/10</f>
        <v>400</v>
      </c>
      <c r="F16" s="31">
        <f t="shared" si="1"/>
        <v>400</v>
      </c>
      <c r="G16" s="31">
        <f t="shared" si="1"/>
        <v>400</v>
      </c>
      <c r="H16" s="31">
        <f t="shared" si="1"/>
        <v>400</v>
      </c>
      <c r="I16" s="31">
        <f t="shared" si="1"/>
        <v>400</v>
      </c>
      <c r="J16" s="31">
        <f t="shared" si="1"/>
        <v>400</v>
      </c>
      <c r="K16" s="31">
        <f t="shared" si="1"/>
        <v>400</v>
      </c>
      <c r="L16" s="31">
        <f t="shared" si="1"/>
        <v>400</v>
      </c>
      <c r="M16" s="31">
        <f t="shared" si="1"/>
        <v>400</v>
      </c>
      <c r="N16" s="31">
        <v>0</v>
      </c>
      <c r="O16" s="18">
        <f>SUM(D16:N16)</f>
        <v>4000</v>
      </c>
      <c r="P16" s="39">
        <f>+O16/$O$11</f>
        <v>0.21052631578947367</v>
      </c>
    </row>
    <row r="17" spans="2:16" ht="12.75">
      <c r="B17" s="40" t="s">
        <v>0</v>
      </c>
      <c r="D17" s="46">
        <f>SUM(D14:D16)</f>
        <v>900</v>
      </c>
      <c r="E17" s="46">
        <f aca="true" t="shared" si="2" ref="E17:O17">SUM(E14:E16)</f>
        <v>900</v>
      </c>
      <c r="F17" s="46">
        <f t="shared" si="2"/>
        <v>900</v>
      </c>
      <c r="G17" s="46">
        <f t="shared" si="2"/>
        <v>900</v>
      </c>
      <c r="H17" s="46">
        <f t="shared" si="2"/>
        <v>900</v>
      </c>
      <c r="I17" s="46">
        <f t="shared" si="2"/>
        <v>900</v>
      </c>
      <c r="J17" s="46">
        <f t="shared" si="2"/>
        <v>900</v>
      </c>
      <c r="K17" s="46">
        <f t="shared" si="2"/>
        <v>900</v>
      </c>
      <c r="L17" s="46">
        <f t="shared" si="2"/>
        <v>900</v>
      </c>
      <c r="M17" s="46">
        <f t="shared" si="2"/>
        <v>900</v>
      </c>
      <c r="N17" s="46">
        <f t="shared" si="2"/>
        <v>500</v>
      </c>
      <c r="O17" s="47">
        <f t="shared" si="2"/>
        <v>9500</v>
      </c>
      <c r="P17" s="41">
        <f>+O17/$O$11</f>
        <v>0.5</v>
      </c>
    </row>
    <row r="18" spans="4:16" ht="12.7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  <c r="P18" s="42"/>
    </row>
    <row r="19" spans="1:16" ht="13.5" thickBot="1">
      <c r="A19" s="8" t="s">
        <v>49</v>
      </c>
      <c r="D19" s="21">
        <f aca="true" t="shared" si="3" ref="D19:O19">+D11-D17</f>
        <v>-900</v>
      </c>
      <c r="E19" s="21">
        <f t="shared" si="3"/>
        <v>1000</v>
      </c>
      <c r="F19" s="21">
        <f t="shared" si="3"/>
        <v>1000</v>
      </c>
      <c r="G19" s="21">
        <f t="shared" si="3"/>
        <v>1000</v>
      </c>
      <c r="H19" s="21">
        <f t="shared" si="3"/>
        <v>1000</v>
      </c>
      <c r="I19" s="21">
        <f t="shared" si="3"/>
        <v>1000</v>
      </c>
      <c r="J19" s="21">
        <f t="shared" si="3"/>
        <v>1000</v>
      </c>
      <c r="K19" s="21">
        <f t="shared" si="3"/>
        <v>1000</v>
      </c>
      <c r="L19" s="21">
        <f t="shared" si="3"/>
        <v>1000</v>
      </c>
      <c r="M19" s="21">
        <f t="shared" si="3"/>
        <v>1000</v>
      </c>
      <c r="N19" s="21">
        <f t="shared" si="3"/>
        <v>1400</v>
      </c>
      <c r="O19" s="22">
        <f t="shared" si="3"/>
        <v>9500</v>
      </c>
      <c r="P19" s="43">
        <f>+O19/$O$11</f>
        <v>0.5</v>
      </c>
    </row>
    <row r="20" spans="4:16" ht="13.5" thickTop="1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7"/>
    </row>
    <row r="21" spans="4:16" ht="12.7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7"/>
    </row>
    <row r="22" spans="1:16" ht="12.75">
      <c r="A22" t="s">
        <v>4</v>
      </c>
      <c r="D22" s="16">
        <f>-Flujo!C15</f>
        <v>100</v>
      </c>
      <c r="E22" s="16">
        <f>-Flujo!D15</f>
        <v>100</v>
      </c>
      <c r="F22" s="16">
        <f>-Flujo!E15</f>
        <v>100</v>
      </c>
      <c r="G22" s="16">
        <f>-Flujo!F15</f>
        <v>100</v>
      </c>
      <c r="H22" s="16">
        <f>-Flujo!G15</f>
        <v>100</v>
      </c>
      <c r="I22" s="16">
        <f>-Flujo!H15</f>
        <v>100</v>
      </c>
      <c r="J22" s="16">
        <f>-Flujo!I15</f>
        <v>100</v>
      </c>
      <c r="K22" s="16">
        <f>-Flujo!J15</f>
        <v>100</v>
      </c>
      <c r="L22" s="16">
        <f>-Flujo!K15</f>
        <v>100</v>
      </c>
      <c r="M22" s="16">
        <f>-Flujo!L15</f>
        <v>100</v>
      </c>
      <c r="N22" s="16">
        <f>-Flujo!M15</f>
        <v>100</v>
      </c>
      <c r="O22" s="18">
        <f>SUM(D22:N22)</f>
        <v>1100</v>
      </c>
      <c r="P22" s="39">
        <f>+O22/$O$11</f>
        <v>0.05789473684210526</v>
      </c>
    </row>
    <row r="23" spans="1:16" ht="12.75">
      <c r="A23" t="s">
        <v>50</v>
      </c>
      <c r="D23" s="16">
        <f>Flujo!C38</f>
        <v>0</v>
      </c>
      <c r="E23" s="16">
        <f>Flujo!D38</f>
        <v>388.50000000000006</v>
      </c>
      <c r="F23" s="16">
        <f>Flujo!E38</f>
        <v>388.50000000000006</v>
      </c>
      <c r="G23" s="16">
        <f>Flujo!F38</f>
        <v>344.42634218822974</v>
      </c>
      <c r="H23" s="16">
        <f>Flujo!G38</f>
        <v>262.72437228281154</v>
      </c>
      <c r="I23" s="16">
        <f>Flujo!H38</f>
        <v>186.3421265906348</v>
      </c>
      <c r="J23" s="16">
        <f>Flujo!I38</f>
        <v>99.26636650155332</v>
      </c>
      <c r="K23" s="16">
        <f>Flujo!J38</f>
        <v>4.297362465877086E-13</v>
      </c>
      <c r="L23" s="16">
        <f>Flujo!K38</f>
        <v>4.297362465877086E-13</v>
      </c>
      <c r="M23" s="16">
        <f>Flujo!L38</f>
        <v>4.297362465877086E-13</v>
      </c>
      <c r="N23" s="16">
        <f>Flujo!M38</f>
        <v>4.297362465877086E-13</v>
      </c>
      <c r="O23" s="18">
        <f>SUM(D23:N23)</f>
        <v>1669.7592075632315</v>
      </c>
      <c r="P23" s="39">
        <f>+O23/$O$11</f>
        <v>0.08788206355595955</v>
      </c>
    </row>
    <row r="24" spans="1:16" ht="12.75">
      <c r="A24" s="10" t="s">
        <v>51</v>
      </c>
      <c r="D24" s="48">
        <f>-Flujo!C19</f>
        <v>0</v>
      </c>
      <c r="E24" s="48">
        <f>-Flujo!D19</f>
        <v>-5</v>
      </c>
      <c r="F24" s="48">
        <f>-Flujo!E19</f>
        <v>1500</v>
      </c>
      <c r="G24" s="48">
        <f>-Flujo!F19</f>
        <v>-5</v>
      </c>
      <c r="H24" s="48">
        <f>-Flujo!G19</f>
        <v>-5</v>
      </c>
      <c r="I24" s="48">
        <f>-Flujo!H19</f>
        <v>-5</v>
      </c>
      <c r="J24" s="48">
        <f>-Flujo!I19</f>
        <v>-5</v>
      </c>
      <c r="K24" s="48">
        <f>-Flujo!J19</f>
        <v>-5</v>
      </c>
      <c r="L24" s="48">
        <f>-Flujo!K19</f>
        <v>-5</v>
      </c>
      <c r="M24" s="48">
        <f>-Flujo!L19</f>
        <v>-5</v>
      </c>
      <c r="N24" s="48">
        <f>-Flujo!M19</f>
        <v>0</v>
      </c>
      <c r="O24" s="18">
        <f>SUM(D24:N24)</f>
        <v>1460</v>
      </c>
      <c r="P24" s="39">
        <f>+O24/$O$11</f>
        <v>0.07684210526315789</v>
      </c>
    </row>
    <row r="25" spans="4:16" ht="12.7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7"/>
    </row>
    <row r="26" spans="1:16" ht="13.5" thickBot="1">
      <c r="A26" t="s">
        <v>52</v>
      </c>
      <c r="D26" s="21">
        <f aca="true" t="shared" si="4" ref="D26:O26">+D19-SUM(D22:D24)</f>
        <v>-1000</v>
      </c>
      <c r="E26" s="21">
        <f t="shared" si="4"/>
        <v>516.5</v>
      </c>
      <c r="F26" s="21">
        <f t="shared" si="4"/>
        <v>-988.5</v>
      </c>
      <c r="G26" s="21">
        <f t="shared" si="4"/>
        <v>560.5736578117703</v>
      </c>
      <c r="H26" s="21">
        <f t="shared" si="4"/>
        <v>642.2756277171884</v>
      </c>
      <c r="I26" s="21">
        <f t="shared" si="4"/>
        <v>718.6578734093653</v>
      </c>
      <c r="J26" s="21">
        <f t="shared" si="4"/>
        <v>805.7336334984467</v>
      </c>
      <c r="K26" s="21">
        <f t="shared" si="4"/>
        <v>904.9999999999995</v>
      </c>
      <c r="L26" s="21">
        <f t="shared" si="4"/>
        <v>904.9999999999995</v>
      </c>
      <c r="M26" s="21">
        <f t="shared" si="4"/>
        <v>904.9999999999995</v>
      </c>
      <c r="N26" s="21">
        <f t="shared" si="4"/>
        <v>1299.9999999999995</v>
      </c>
      <c r="O26" s="22">
        <f t="shared" si="4"/>
        <v>5270.240792436769</v>
      </c>
      <c r="P26" s="43">
        <f>+O26/$O$11</f>
        <v>0.27738109433877733</v>
      </c>
    </row>
    <row r="27" spans="4:16" ht="13.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7"/>
    </row>
    <row r="28" spans="1:16" ht="12.75">
      <c r="A28" t="s">
        <v>53</v>
      </c>
      <c r="C28" s="44">
        <v>0.15</v>
      </c>
      <c r="D28" s="16">
        <f>IF(D26&gt;0,D26*$C$28,0)</f>
        <v>0</v>
      </c>
      <c r="E28" s="16">
        <f aca="true" t="shared" si="5" ref="E28:N28">IF(E26&gt;0,E26*$C$28,0)</f>
        <v>77.475</v>
      </c>
      <c r="F28" s="16">
        <f t="shared" si="5"/>
        <v>0</v>
      </c>
      <c r="G28" s="16">
        <f t="shared" si="5"/>
        <v>84.08604867176554</v>
      </c>
      <c r="H28" s="16">
        <f t="shared" si="5"/>
        <v>96.34134415757826</v>
      </c>
      <c r="I28" s="16">
        <f t="shared" si="5"/>
        <v>107.79868101140478</v>
      </c>
      <c r="J28" s="16">
        <f t="shared" si="5"/>
        <v>120.860045024767</v>
      </c>
      <c r="K28" s="16">
        <f t="shared" si="5"/>
        <v>135.74999999999991</v>
      </c>
      <c r="L28" s="16">
        <f t="shared" si="5"/>
        <v>135.74999999999991</v>
      </c>
      <c r="M28" s="16">
        <f t="shared" si="5"/>
        <v>135.74999999999991</v>
      </c>
      <c r="N28" s="16">
        <f t="shared" si="5"/>
        <v>194.99999999999991</v>
      </c>
      <c r="O28" s="18">
        <f>SUM(D28:N28)</f>
        <v>1088.8111188655153</v>
      </c>
      <c r="P28" s="39">
        <f>+O28/$O$11</f>
        <v>0.057305848361342906</v>
      </c>
    </row>
    <row r="29" spans="1:16" ht="12.75">
      <c r="A29" t="s">
        <v>54</v>
      </c>
      <c r="C29" s="44">
        <v>0.25</v>
      </c>
      <c r="D29" s="16">
        <f>IF(D26&gt;0,(D26-D28)*$C$29,0)</f>
        <v>0</v>
      </c>
      <c r="E29" s="16">
        <f>IF(E26&gt;0,(E26-E28)*$C$29,0)</f>
        <v>109.75625</v>
      </c>
      <c r="F29" s="16">
        <f aca="true" t="shared" si="6" ref="F29:N29">IF(F26&gt;0,(F26-F28)*$C$29,0)</f>
        <v>0</v>
      </c>
      <c r="G29" s="16">
        <f t="shared" si="6"/>
        <v>119.1219022850012</v>
      </c>
      <c r="H29" s="16">
        <f t="shared" si="6"/>
        <v>136.48357088990252</v>
      </c>
      <c r="I29" s="16">
        <f t="shared" si="6"/>
        <v>152.7147980994901</v>
      </c>
      <c r="J29" s="16">
        <f t="shared" si="6"/>
        <v>171.21839711841992</v>
      </c>
      <c r="K29" s="16">
        <f t="shared" si="6"/>
        <v>192.31249999999991</v>
      </c>
      <c r="L29" s="16">
        <f t="shared" si="6"/>
        <v>192.31249999999991</v>
      </c>
      <c r="M29" s="16">
        <f t="shared" si="6"/>
        <v>192.31249999999991</v>
      </c>
      <c r="N29" s="16">
        <f t="shared" si="6"/>
        <v>276.2499999999999</v>
      </c>
      <c r="O29" s="18">
        <f>SUM(D29:N29)</f>
        <v>1542.4824183928135</v>
      </c>
      <c r="P29" s="39">
        <f>+O29/$O$11</f>
        <v>0.08118328517856914</v>
      </c>
    </row>
    <row r="30" spans="4:16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  <c r="P30" s="7"/>
    </row>
    <row r="31" spans="1:16" ht="15.75" thickBot="1">
      <c r="A31" s="37" t="s">
        <v>55</v>
      </c>
      <c r="D31" s="23">
        <f>+D26-SUM(D28:D29)</f>
        <v>-1000</v>
      </c>
      <c r="E31" s="23">
        <f aca="true" t="shared" si="7" ref="E31:O31">+E26-SUM(E28:E29)</f>
        <v>329.26875</v>
      </c>
      <c r="F31" s="23">
        <f t="shared" si="7"/>
        <v>-988.5</v>
      </c>
      <c r="G31" s="23">
        <f t="shared" si="7"/>
        <v>357.36570685500357</v>
      </c>
      <c r="H31" s="23">
        <f t="shared" si="7"/>
        <v>409.4507126697076</v>
      </c>
      <c r="I31" s="23">
        <f t="shared" si="7"/>
        <v>458.1443942984704</v>
      </c>
      <c r="J31" s="23">
        <f t="shared" si="7"/>
        <v>513.6551913552598</v>
      </c>
      <c r="K31" s="23">
        <f t="shared" si="7"/>
        <v>576.9374999999998</v>
      </c>
      <c r="L31" s="23">
        <f t="shared" si="7"/>
        <v>576.9374999999998</v>
      </c>
      <c r="M31" s="23">
        <f t="shared" si="7"/>
        <v>576.9374999999998</v>
      </c>
      <c r="N31" s="23">
        <f t="shared" si="7"/>
        <v>828.7499999999998</v>
      </c>
      <c r="O31" s="24">
        <f t="shared" si="7"/>
        <v>2638.94725517844</v>
      </c>
      <c r="P31" s="45">
        <f>+O31/$O$11</f>
        <v>0.13889196079886526</v>
      </c>
    </row>
    <row r="35" spans="1:16" ht="12.75">
      <c r="A35" s="32" t="s">
        <v>40</v>
      </c>
      <c r="B35" s="32" t="s">
        <v>40</v>
      </c>
      <c r="C35" s="32" t="s">
        <v>40</v>
      </c>
      <c r="D35" s="32" t="s">
        <v>40</v>
      </c>
      <c r="E35" s="32" t="s">
        <v>40</v>
      </c>
      <c r="F35" s="32" t="s">
        <v>40</v>
      </c>
      <c r="G35" s="32" t="s">
        <v>40</v>
      </c>
      <c r="H35" s="32" t="s">
        <v>40</v>
      </c>
      <c r="I35" s="32" t="s">
        <v>40</v>
      </c>
      <c r="J35" s="32" t="s">
        <v>40</v>
      </c>
      <c r="K35" s="32" t="s">
        <v>40</v>
      </c>
      <c r="L35" s="32" t="s">
        <v>40</v>
      </c>
      <c r="M35" s="32" t="s">
        <v>40</v>
      </c>
      <c r="N35" s="32" t="s">
        <v>40</v>
      </c>
      <c r="O35" s="32" t="s">
        <v>40</v>
      </c>
      <c r="P35" s="32" t="s">
        <v>40</v>
      </c>
    </row>
    <row r="36" spans="1:16" ht="12.75">
      <c r="A36" s="10" t="s">
        <v>60</v>
      </c>
      <c r="D36" s="16">
        <f>D26+D23</f>
        <v>-1000</v>
      </c>
      <c r="E36" s="16">
        <f aca="true" t="shared" si="8" ref="E36:N36">E26+E23</f>
        <v>905</v>
      </c>
      <c r="F36" s="16">
        <f t="shared" si="8"/>
        <v>-600</v>
      </c>
      <c r="G36" s="16">
        <f t="shared" si="8"/>
        <v>905</v>
      </c>
      <c r="H36" s="16">
        <f t="shared" si="8"/>
        <v>905</v>
      </c>
      <c r="I36" s="16">
        <f t="shared" si="8"/>
        <v>905</v>
      </c>
      <c r="J36" s="16">
        <f t="shared" si="8"/>
        <v>905</v>
      </c>
      <c r="K36" s="16">
        <f t="shared" si="8"/>
        <v>905</v>
      </c>
      <c r="L36" s="16">
        <f t="shared" si="8"/>
        <v>905</v>
      </c>
      <c r="M36" s="16">
        <f t="shared" si="8"/>
        <v>905</v>
      </c>
      <c r="N36" s="16">
        <f t="shared" si="8"/>
        <v>1300</v>
      </c>
      <c r="O36" s="16"/>
      <c r="P36" s="16"/>
    </row>
    <row r="37" spans="1:16" ht="12.75">
      <c r="A37" t="s">
        <v>53</v>
      </c>
      <c r="C37" s="44"/>
      <c r="D37" s="16">
        <f>IF(D36&gt;0,D36*$C$28,0)</f>
        <v>0</v>
      </c>
      <c r="E37" s="16">
        <f aca="true" t="shared" si="9" ref="E37:N37">IF(E36&gt;0,E36*$C$28,0)</f>
        <v>135.75</v>
      </c>
      <c r="F37" s="16">
        <f t="shared" si="9"/>
        <v>0</v>
      </c>
      <c r="G37" s="16">
        <f t="shared" si="9"/>
        <v>135.75</v>
      </c>
      <c r="H37" s="16">
        <f t="shared" si="9"/>
        <v>135.75</v>
      </c>
      <c r="I37" s="16">
        <f t="shared" si="9"/>
        <v>135.75</v>
      </c>
      <c r="J37" s="16">
        <f t="shared" si="9"/>
        <v>135.75</v>
      </c>
      <c r="K37" s="16">
        <f t="shared" si="9"/>
        <v>135.75</v>
      </c>
      <c r="L37" s="16">
        <f t="shared" si="9"/>
        <v>135.75</v>
      </c>
      <c r="M37" s="16">
        <f t="shared" si="9"/>
        <v>135.75</v>
      </c>
      <c r="N37" s="16">
        <f t="shared" si="9"/>
        <v>195</v>
      </c>
      <c r="O37" s="16"/>
      <c r="P37" s="16"/>
    </row>
    <row r="38" spans="1:16" ht="12.75">
      <c r="A38" t="s">
        <v>54</v>
      </c>
      <c r="C38" s="44"/>
      <c r="D38" s="16">
        <f>IF(D36&gt;0,(D36-D37)*$C$29,0)</f>
        <v>0</v>
      </c>
      <c r="E38" s="16">
        <f>IF(E36&gt;0,(E36-E37)*$C$29,0)</f>
        <v>192.3125</v>
      </c>
      <c r="F38" s="16">
        <f aca="true" t="shared" si="10" ref="F38:N38">IF(F36&gt;0,(F36-F37)*$C$29,0)</f>
        <v>0</v>
      </c>
      <c r="G38" s="16">
        <f t="shared" si="10"/>
        <v>192.3125</v>
      </c>
      <c r="H38" s="16">
        <f t="shared" si="10"/>
        <v>192.3125</v>
      </c>
      <c r="I38" s="16">
        <f t="shared" si="10"/>
        <v>192.3125</v>
      </c>
      <c r="J38" s="16">
        <f t="shared" si="10"/>
        <v>192.3125</v>
      </c>
      <c r="K38" s="16">
        <f t="shared" si="10"/>
        <v>192.3125</v>
      </c>
      <c r="L38" s="16">
        <f t="shared" si="10"/>
        <v>192.3125</v>
      </c>
      <c r="M38" s="16">
        <f t="shared" si="10"/>
        <v>192.3125</v>
      </c>
      <c r="N38" s="16">
        <f t="shared" si="10"/>
        <v>276.25</v>
      </c>
      <c r="O38" s="16"/>
      <c r="P38" s="16"/>
    </row>
    <row r="39" spans="1:16" ht="12.75">
      <c r="A39" t="s">
        <v>61</v>
      </c>
      <c r="D39" s="19">
        <f>D36-SUM(D37:D38)</f>
        <v>-1000</v>
      </c>
      <c r="E39" s="19">
        <f aca="true" t="shared" si="11" ref="E39:N39">E36-SUM(E37:E38)</f>
        <v>576.9375</v>
      </c>
      <c r="F39" s="19">
        <f t="shared" si="11"/>
        <v>-600</v>
      </c>
      <c r="G39" s="19">
        <f t="shared" si="11"/>
        <v>576.9375</v>
      </c>
      <c r="H39" s="19">
        <f t="shared" si="11"/>
        <v>576.9375</v>
      </c>
      <c r="I39" s="19">
        <f t="shared" si="11"/>
        <v>576.9375</v>
      </c>
      <c r="J39" s="19">
        <f t="shared" si="11"/>
        <v>576.9375</v>
      </c>
      <c r="K39" s="19">
        <f t="shared" si="11"/>
        <v>576.9375</v>
      </c>
      <c r="L39" s="19">
        <f t="shared" si="11"/>
        <v>576.9375</v>
      </c>
      <c r="M39" s="19">
        <f t="shared" si="11"/>
        <v>576.9375</v>
      </c>
      <c r="N39" s="19">
        <f t="shared" si="11"/>
        <v>828.75</v>
      </c>
      <c r="O39" s="16"/>
      <c r="P39" s="16"/>
    </row>
    <row r="40" spans="1:14" ht="12.75">
      <c r="A40" t="s">
        <v>62</v>
      </c>
      <c r="D40" s="16">
        <f>SUM(D37:D38)-SUM(D28:D29)</f>
        <v>0</v>
      </c>
      <c r="E40" s="16">
        <f aca="true" t="shared" si="12" ref="E40:N40">SUM(E37:E38)-SUM(E28:E29)</f>
        <v>140.83125</v>
      </c>
      <c r="F40" s="16">
        <f t="shared" si="12"/>
        <v>0</v>
      </c>
      <c r="G40" s="16">
        <f t="shared" si="12"/>
        <v>124.85454904323325</v>
      </c>
      <c r="H40" s="16">
        <f t="shared" si="12"/>
        <v>95.23758495251923</v>
      </c>
      <c r="I40" s="16">
        <f t="shared" si="12"/>
        <v>67.54902088910512</v>
      </c>
      <c r="J40" s="16">
        <f t="shared" si="12"/>
        <v>35.98405785681308</v>
      </c>
      <c r="K40" s="16">
        <f t="shared" si="12"/>
        <v>0</v>
      </c>
      <c r="L40" s="16">
        <f t="shared" si="12"/>
        <v>0</v>
      </c>
      <c r="M40" s="16">
        <f t="shared" si="12"/>
        <v>0</v>
      </c>
      <c r="N40" s="16">
        <f t="shared" si="12"/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FIMCM - ESPOL</dc:creator>
  <cp:keywords/>
  <dc:description/>
  <cp:lastModifiedBy>FIMCM - ESPOL</cp:lastModifiedBy>
  <dcterms:created xsi:type="dcterms:W3CDTF">2007-03-30T13:23:30Z</dcterms:created>
  <dcterms:modified xsi:type="dcterms:W3CDTF">2007-04-04T13:29:00Z</dcterms:modified>
  <cp:category/>
  <cp:version/>
  <cp:contentType/>
  <cp:contentStatus/>
</cp:coreProperties>
</file>