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charts/chart6.xml" ContentType="application/vnd.openxmlformats-officedocument.drawingml.char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75" windowWidth="15315" windowHeight="5190" firstSheet="10" activeTab="13"/>
  </bookViews>
  <sheets>
    <sheet name="obras fisicas" sheetId="1" r:id="rId1"/>
    <sheet name="localizacion" sheetId="6" r:id="rId2"/>
    <sheet name="personal" sheetId="2" r:id="rId3"/>
    <sheet name="GASTO DE CONSTITUCION" sheetId="28" r:id="rId4"/>
    <sheet name="total inversión inicial" sheetId="4" r:id="rId5"/>
    <sheet name="punto de equilibrio" sheetId="8" r:id="rId6"/>
    <sheet name="calendario de inversión" sheetId="5" r:id="rId7"/>
    <sheet name="BALANCE Y VALOR DE DESECHO" sheetId="3" r:id="rId8"/>
    <sheet name="capital de trabajo" sheetId="19" r:id="rId9"/>
    <sheet name="ESTRUCTURA FINANCIERA" sheetId="21" r:id="rId10"/>
    <sheet name="flujo de caja" sheetId="22" r:id="rId11"/>
    <sheet name="DEMANDA PROYECTADA" sheetId="30" r:id="rId12"/>
    <sheet name="cf y cv" sheetId="7" r:id="rId13"/>
    <sheet name="PAYBACK" sheetId="25" r:id="rId14"/>
    <sheet name="SENSIBILIDAD" sheetId="26" r:id="rId15"/>
    <sheet name="SENSIBILIDAD (2)" sheetId="32" r:id="rId16"/>
  </sheets>
  <externalReferences>
    <externalReference r:id="rId17"/>
    <externalReference r:id="rId18"/>
  </externalReferences>
  <definedNames>
    <definedName name="CBWorkbookPriority" hidden="1">-1693176963</definedName>
    <definedName name="pre">'[1]Análisis de sensibilidad'!$C$9</definedName>
    <definedName name="uni">'[1]Análisis de sensibilidad'!$C$56</definedName>
  </definedNames>
  <calcPr calcId="125725"/>
</workbook>
</file>

<file path=xl/calcChain.xml><?xml version="1.0" encoding="utf-8"?>
<calcChain xmlns="http://schemas.openxmlformats.org/spreadsheetml/2006/main">
  <c r="G8" i="25"/>
  <c r="F8" l="1"/>
  <c r="G21" i="3" l="1"/>
  <c r="J10"/>
  <c r="L10" s="1"/>
  <c r="K21" i="5"/>
  <c r="F21" s="1"/>
  <c r="F30" s="1"/>
  <c r="I27" i="7" l="1"/>
  <c r="F46" i="32" l="1"/>
  <c r="E46"/>
  <c r="E30" i="26"/>
  <c r="E31"/>
  <c r="E29"/>
  <c r="E26"/>
  <c r="E27"/>
  <c r="E19"/>
  <c r="E17"/>
  <c r="E15"/>
  <c r="E16"/>
  <c r="E21"/>
  <c r="E20"/>
  <c r="E8" l="1"/>
  <c r="E7" s="1"/>
  <c r="B16" i="2" l="1"/>
  <c r="E16"/>
  <c r="J28" i="7"/>
  <c r="K28" s="1"/>
  <c r="I28"/>
  <c r="J27"/>
  <c r="K27" s="1"/>
  <c r="I53"/>
  <c r="B10" i="22"/>
  <c r="E6" i="28"/>
  <c r="J9" i="21" l="1"/>
  <c r="C32" i="19"/>
  <c r="B30"/>
  <c r="B32"/>
  <c r="B33"/>
  <c r="B34"/>
  <c r="B35"/>
  <c r="B36"/>
  <c r="B37"/>
  <c r="B38"/>
  <c r="C5" i="30"/>
  <c r="C6" s="1"/>
  <c r="C13" i="7"/>
  <c r="I30"/>
  <c r="J30" s="1"/>
  <c r="K30" s="1"/>
  <c r="B29"/>
  <c r="C39" s="1"/>
  <c r="D39" s="1"/>
  <c r="I29"/>
  <c r="J29" s="1"/>
  <c r="K29" s="1"/>
  <c r="I50"/>
  <c r="I51" s="1"/>
  <c r="I54" s="1"/>
  <c r="C42" s="1"/>
  <c r="J4" i="2"/>
  <c r="K4"/>
  <c r="H4"/>
  <c r="I4" s="1"/>
  <c r="L4" s="1"/>
  <c r="M4" s="1"/>
  <c r="G4"/>
  <c r="D5" i="30" l="1"/>
  <c r="B30" i="7"/>
  <c r="C40" s="1"/>
  <c r="D40" s="1"/>
  <c r="B31"/>
  <c r="C41" s="1"/>
  <c r="D41" s="1"/>
  <c r="D6" i="30" l="1"/>
  <c r="D13" i="22" s="1"/>
  <c r="E5" i="30"/>
  <c r="B32" i="7"/>
  <c r="D42"/>
  <c r="E6" i="30" l="1"/>
  <c r="E13" i="22" s="1"/>
  <c r="F5" i="30"/>
  <c r="G5"/>
  <c r="G6" s="1"/>
  <c r="F6" l="1"/>
  <c r="F13" i="22" s="1"/>
  <c r="H5" i="30"/>
  <c r="H6" s="1"/>
  <c r="G13" i="22"/>
  <c r="H13" l="1"/>
  <c r="I5" i="30"/>
  <c r="I6" s="1"/>
  <c r="J5" l="1"/>
  <c r="J6" s="1"/>
  <c r="I13" i="22"/>
  <c r="J13" l="1"/>
  <c r="K5" i="30"/>
  <c r="K6" s="1"/>
  <c r="L5" l="1"/>
  <c r="L6" s="1"/>
  <c r="K13" i="22"/>
  <c r="L13" l="1"/>
  <c r="H5" i="2"/>
  <c r="I5" s="1"/>
  <c r="G5"/>
  <c r="E5" i="26" l="1"/>
  <c r="G11" i="5"/>
  <c r="J11" s="1"/>
  <c r="G4"/>
  <c r="J4" s="1"/>
  <c r="E18" i="22"/>
  <c r="G18"/>
  <c r="I18"/>
  <c r="K18"/>
  <c r="B3" i="4"/>
  <c r="E16" i="1"/>
  <c r="E15"/>
  <c r="E9" i="26"/>
  <c r="E10"/>
  <c r="E6"/>
  <c r="A4" i="25"/>
  <c r="E25" i="26"/>
  <c r="C30" i="19"/>
  <c r="D30"/>
  <c r="E30"/>
  <c r="F30"/>
  <c r="G30"/>
  <c r="H30"/>
  <c r="I30"/>
  <c r="J30"/>
  <c r="K30"/>
  <c r="L30"/>
  <c r="M30"/>
  <c r="D32"/>
  <c r="E32"/>
  <c r="F32"/>
  <c r="G32"/>
  <c r="H32"/>
  <c r="I32"/>
  <c r="J32"/>
  <c r="K32"/>
  <c r="L32"/>
  <c r="M32"/>
  <c r="C33"/>
  <c r="D33"/>
  <c r="E33"/>
  <c r="F33"/>
  <c r="G33"/>
  <c r="H33"/>
  <c r="I33"/>
  <c r="J33"/>
  <c r="K33"/>
  <c r="L33"/>
  <c r="M33"/>
  <c r="C34"/>
  <c r="D34"/>
  <c r="E34"/>
  <c r="F34"/>
  <c r="G34"/>
  <c r="H34"/>
  <c r="I34"/>
  <c r="J34"/>
  <c r="K34"/>
  <c r="L34"/>
  <c r="M34"/>
  <c r="C35"/>
  <c r="D35"/>
  <c r="E35"/>
  <c r="F35"/>
  <c r="G35"/>
  <c r="H35"/>
  <c r="I35"/>
  <c r="J35"/>
  <c r="K35"/>
  <c r="L35"/>
  <c r="M35"/>
  <c r="C36"/>
  <c r="D36"/>
  <c r="E36"/>
  <c r="F36"/>
  <c r="G36"/>
  <c r="H36"/>
  <c r="I36"/>
  <c r="J36"/>
  <c r="K36"/>
  <c r="L36"/>
  <c r="M36"/>
  <c r="C37"/>
  <c r="D37"/>
  <c r="E37"/>
  <c r="F37"/>
  <c r="G37"/>
  <c r="H37"/>
  <c r="I37"/>
  <c r="J37"/>
  <c r="K37"/>
  <c r="L37"/>
  <c r="M37"/>
  <c r="C38"/>
  <c r="D38"/>
  <c r="E38"/>
  <c r="F38"/>
  <c r="G38"/>
  <c r="H38"/>
  <c r="I38"/>
  <c r="J38"/>
  <c r="K38"/>
  <c r="L38"/>
  <c r="M38"/>
  <c r="I52" i="7"/>
  <c r="F41" i="22"/>
  <c r="J41"/>
  <c r="F39"/>
  <c r="J39"/>
  <c r="B22" i="5"/>
  <c r="C41" i="22" s="1"/>
  <c r="C22" i="5"/>
  <c r="D41" i="22" s="1"/>
  <c r="E22" i="5"/>
  <c r="H22"/>
  <c r="I41" i="22" s="1"/>
  <c r="I22" i="5"/>
  <c r="C31"/>
  <c r="D39" i="22" s="1"/>
  <c r="E31" i="5"/>
  <c r="H31"/>
  <c r="I39" i="22" s="1"/>
  <c r="I31" i="5"/>
  <c r="B31"/>
  <c r="C39" i="22" s="1"/>
  <c r="K15" i="2"/>
  <c r="G15"/>
  <c r="H15"/>
  <c r="I15" s="1"/>
  <c r="J15"/>
  <c r="G5" i="3"/>
  <c r="G6"/>
  <c r="G7"/>
  <c r="G8"/>
  <c r="C11" i="7"/>
  <c r="D43"/>
  <c r="C9"/>
  <c r="C8"/>
  <c r="C10"/>
  <c r="C12"/>
  <c r="C14"/>
  <c r="C6"/>
  <c r="F5" i="6"/>
  <c r="F6"/>
  <c r="F7"/>
  <c r="F4"/>
  <c r="D5"/>
  <c r="D6"/>
  <c r="D7"/>
  <c r="D4"/>
  <c r="B8"/>
  <c r="G10" i="3"/>
  <c r="G11"/>
  <c r="G12"/>
  <c r="G13"/>
  <c r="G14"/>
  <c r="G16"/>
  <c r="G17"/>
  <c r="G18"/>
  <c r="G19"/>
  <c r="G4"/>
  <c r="E23" i="1"/>
  <c r="E21"/>
  <c r="E22"/>
  <c r="K13" i="2"/>
  <c r="K14"/>
  <c r="J6"/>
  <c r="J7"/>
  <c r="J8"/>
  <c r="J9"/>
  <c r="J10"/>
  <c r="J11"/>
  <c r="J12"/>
  <c r="J13"/>
  <c r="J14"/>
  <c r="K7"/>
  <c r="K8"/>
  <c r="K9"/>
  <c r="K10"/>
  <c r="K11"/>
  <c r="K12"/>
  <c r="K6"/>
  <c r="K5"/>
  <c r="J5"/>
  <c r="L5" s="1"/>
  <c r="G6"/>
  <c r="H6"/>
  <c r="I6" s="1"/>
  <c r="G7"/>
  <c r="H7"/>
  <c r="I7" s="1"/>
  <c r="L7" s="1"/>
  <c r="M7" s="1"/>
  <c r="G8"/>
  <c r="H8"/>
  <c r="I8" s="1"/>
  <c r="G9"/>
  <c r="H9"/>
  <c r="I9" s="1"/>
  <c r="L9" s="1"/>
  <c r="M9" s="1"/>
  <c r="G10"/>
  <c r="H10"/>
  <c r="I10" s="1"/>
  <c r="G11"/>
  <c r="H11"/>
  <c r="I11" s="1"/>
  <c r="G12"/>
  <c r="H12"/>
  <c r="I12" s="1"/>
  <c r="G13"/>
  <c r="H13"/>
  <c r="I13" s="1"/>
  <c r="G14"/>
  <c r="H14"/>
  <c r="I14" s="1"/>
  <c r="E18" i="1"/>
  <c r="E17"/>
  <c r="E19"/>
  <c r="E20"/>
  <c r="J7" i="3" l="1"/>
  <c r="J8"/>
  <c r="L15" i="2"/>
  <c r="M15" s="1"/>
  <c r="F23" i="1"/>
  <c r="J6" i="3" s="1"/>
  <c r="J9"/>
  <c r="D19" i="5" s="1"/>
  <c r="J5" i="3"/>
  <c r="Q5" s="1"/>
  <c r="L42" i="22"/>
  <c r="L8" i="3"/>
  <c r="P8" s="1"/>
  <c r="B28" i="7"/>
  <c r="L10" i="2"/>
  <c r="M10" s="1"/>
  <c r="L8"/>
  <c r="M8" s="1"/>
  <c r="L6"/>
  <c r="M6" s="1"/>
  <c r="P10" i="3"/>
  <c r="G22"/>
  <c r="N10"/>
  <c r="Q10" s="1"/>
  <c r="B43" i="22"/>
  <c r="E24" i="1"/>
  <c r="L13" i="2"/>
  <c r="M13" s="1"/>
  <c r="L12"/>
  <c r="M12" s="1"/>
  <c r="L11"/>
  <c r="M11" s="1"/>
  <c r="F8" i="6"/>
  <c r="D8"/>
  <c r="H18" i="22"/>
  <c r="J18"/>
  <c r="F18"/>
  <c r="D18"/>
  <c r="L14" i="2"/>
  <c r="M14" s="1"/>
  <c r="L18" i="22"/>
  <c r="G16" i="2"/>
  <c r="M5"/>
  <c r="I16"/>
  <c r="L16" l="1"/>
  <c r="N6" i="3"/>
  <c r="L6"/>
  <c r="P6" s="1"/>
  <c r="C38" i="7"/>
  <c r="E17" i="22"/>
  <c r="G17"/>
  <c r="G19" s="1"/>
  <c r="G20" s="1"/>
  <c r="I17"/>
  <c r="I19" s="1"/>
  <c r="I20" s="1"/>
  <c r="K17"/>
  <c r="K19" s="1"/>
  <c r="K20" s="1"/>
  <c r="C17"/>
  <c r="D17"/>
  <c r="F17"/>
  <c r="H17"/>
  <c r="J17"/>
  <c r="L17"/>
  <c r="B5" i="4"/>
  <c r="B42" i="22" s="1"/>
  <c r="N8" i="3"/>
  <c r="Q8" s="1"/>
  <c r="E19" i="22"/>
  <c r="E20" s="1"/>
  <c r="N9" i="3"/>
  <c r="L9"/>
  <c r="P9" s="1"/>
  <c r="K30" i="5"/>
  <c r="K31" s="1"/>
  <c r="F19" i="22"/>
  <c r="F20" s="1"/>
  <c r="D19"/>
  <c r="D20" s="1"/>
  <c r="L19"/>
  <c r="L20" s="1"/>
  <c r="J19"/>
  <c r="J20" s="1"/>
  <c r="H19"/>
  <c r="H20" s="1"/>
  <c r="M16" i="2"/>
  <c r="B7" i="7" s="1"/>
  <c r="Q6" i="3" l="1"/>
  <c r="D38" i="7"/>
  <c r="B15"/>
  <c r="B31" i="19"/>
  <c r="B39" s="1"/>
  <c r="L39" i="22"/>
  <c r="N7" i="3"/>
  <c r="D28" i="5"/>
  <c r="D31" s="1"/>
  <c r="G19"/>
  <c r="G28" s="1"/>
  <c r="D22"/>
  <c r="Q9" i="3"/>
  <c r="F31" i="5"/>
  <c r="F22"/>
  <c r="C31" i="19"/>
  <c r="C39" s="1"/>
  <c r="E31"/>
  <c r="E39" s="1"/>
  <c r="G31"/>
  <c r="G39" s="1"/>
  <c r="I31"/>
  <c r="I39" s="1"/>
  <c r="K31"/>
  <c r="K39" s="1"/>
  <c r="M31"/>
  <c r="M39" s="1"/>
  <c r="D31"/>
  <c r="D39" s="1"/>
  <c r="F31"/>
  <c r="F39" s="1"/>
  <c r="H31"/>
  <c r="H39" s="1"/>
  <c r="J31"/>
  <c r="J39" s="1"/>
  <c r="L31"/>
  <c r="L39" s="1"/>
  <c r="C7" i="7"/>
  <c r="C15" s="1"/>
  <c r="C16" s="1"/>
  <c r="K22" i="5"/>
  <c r="L7" i="3"/>
  <c r="L11" s="1"/>
  <c r="C29" i="22" s="1"/>
  <c r="D44" i="7" l="1"/>
  <c r="C17" s="1"/>
  <c r="E25" i="22"/>
  <c r="P7" i="3"/>
  <c r="Q7" s="1"/>
  <c r="Q11" s="1"/>
  <c r="J19" i="5"/>
  <c r="G22"/>
  <c r="G31"/>
  <c r="E41" i="22"/>
  <c r="E39"/>
  <c r="G25"/>
  <c r="G41"/>
  <c r="L41"/>
  <c r="G39"/>
  <c r="C25"/>
  <c r="H25"/>
  <c r="J25"/>
  <c r="I25"/>
  <c r="N39" i="19"/>
  <c r="F25" i="22"/>
  <c r="C3" i="8"/>
  <c r="D25" i="22"/>
  <c r="K25"/>
  <c r="L25"/>
  <c r="E3" i="8" l="1"/>
  <c r="C18" i="7"/>
  <c r="D45"/>
  <c r="H39" i="22"/>
  <c r="J22" i="5"/>
  <c r="J28"/>
  <c r="J31" s="1"/>
  <c r="H41" i="22"/>
  <c r="L47"/>
  <c r="F29"/>
  <c r="J29"/>
  <c r="G29"/>
  <c r="K29"/>
  <c r="D29"/>
  <c r="H29"/>
  <c r="L29"/>
  <c r="E29"/>
  <c r="I29"/>
  <c r="L24" l="1"/>
  <c r="L26" s="1"/>
  <c r="H24"/>
  <c r="H26" s="1"/>
  <c r="F24"/>
  <c r="F26" s="1"/>
  <c r="I24"/>
  <c r="I26" s="1"/>
  <c r="J24"/>
  <c r="J26" s="1"/>
  <c r="E24"/>
  <c r="E26" s="1"/>
  <c r="D24"/>
  <c r="D26" s="1"/>
  <c r="K24"/>
  <c r="K26" s="1"/>
  <c r="G24"/>
  <c r="G26" s="1"/>
  <c r="K41"/>
  <c r="K39"/>
  <c r="E37"/>
  <c r="H37"/>
  <c r="K37"/>
  <c r="C37"/>
  <c r="F37"/>
  <c r="I37"/>
  <c r="L37"/>
  <c r="D37"/>
  <c r="G37"/>
  <c r="J37"/>
  <c r="E11" i="26" l="1"/>
  <c r="D3" i="8" l="1"/>
  <c r="F3" s="1"/>
  <c r="C8" i="19"/>
  <c r="E8"/>
  <c r="D8"/>
  <c r="M8"/>
  <c r="L8"/>
  <c r="K8"/>
  <c r="J8"/>
  <c r="I8"/>
  <c r="H8"/>
  <c r="G8"/>
  <c r="F8"/>
  <c r="K14" i="22" l="1"/>
  <c r="K21" s="1"/>
  <c r="K28" s="1"/>
  <c r="G14"/>
  <c r="G21" s="1"/>
  <c r="G28" s="1"/>
  <c r="E14"/>
  <c r="E21" s="1"/>
  <c r="E28" s="1"/>
  <c r="I14"/>
  <c r="I21" s="1"/>
  <c r="I28" s="1"/>
  <c r="J14"/>
  <c r="J21" s="1"/>
  <c r="J28" s="1"/>
  <c r="H14"/>
  <c r="H21" s="1"/>
  <c r="H28" s="1"/>
  <c r="F14"/>
  <c r="F21" s="1"/>
  <c r="F28" s="1"/>
  <c r="L14"/>
  <c r="L21" s="1"/>
  <c r="L28" s="1"/>
  <c r="D14"/>
  <c r="D21" s="1"/>
  <c r="D28" s="1"/>
  <c r="F28" i="26"/>
  <c r="G28"/>
  <c r="C13" i="22"/>
  <c r="C24" l="1"/>
  <c r="C26" s="1"/>
  <c r="C18"/>
  <c r="C14"/>
  <c r="C8" i="30"/>
  <c r="C9" i="19" l="1"/>
  <c r="M9"/>
  <c r="J9"/>
  <c r="I9"/>
  <c r="F9"/>
  <c r="E9"/>
  <c r="L9"/>
  <c r="K9"/>
  <c r="H9"/>
  <c r="G9"/>
  <c r="D9"/>
  <c r="C19" i="22"/>
  <c r="C20" s="1"/>
  <c r="C21" s="1"/>
  <c r="D15" i="19" l="1"/>
  <c r="D10"/>
  <c r="H10"/>
  <c r="H15"/>
  <c r="L10"/>
  <c r="L15"/>
  <c r="F15"/>
  <c r="F10"/>
  <c r="J15"/>
  <c r="J10"/>
  <c r="N9"/>
  <c r="C10"/>
  <c r="C15"/>
  <c r="G15"/>
  <c r="G10"/>
  <c r="K15"/>
  <c r="K10"/>
  <c r="E15"/>
  <c r="E10"/>
  <c r="I15"/>
  <c r="I10"/>
  <c r="M15"/>
  <c r="M10"/>
  <c r="M12" s="1"/>
  <c r="L16" l="1"/>
  <c r="M17"/>
  <c r="M18" s="1"/>
  <c r="I17"/>
  <c r="H16"/>
  <c r="D16"/>
  <c r="E17"/>
  <c r="K17"/>
  <c r="J16"/>
  <c r="G17"/>
  <c r="F16"/>
  <c r="C12"/>
  <c r="C14" s="1"/>
  <c r="C43" s="1"/>
  <c r="D13"/>
  <c r="J12"/>
  <c r="K13"/>
  <c r="G13"/>
  <c r="F12"/>
  <c r="K16"/>
  <c r="K18" s="1"/>
  <c r="L17"/>
  <c r="L18" s="1"/>
  <c r="G16"/>
  <c r="G18" s="1"/>
  <c r="H17"/>
  <c r="H18" s="1"/>
  <c r="E13"/>
  <c r="D12"/>
  <c r="D14" s="1"/>
  <c r="D43" s="1"/>
  <c r="I12"/>
  <c r="J13"/>
  <c r="E12"/>
  <c r="E14" s="1"/>
  <c r="E43" s="1"/>
  <c r="F13"/>
  <c r="L13"/>
  <c r="K12"/>
  <c r="K14" s="1"/>
  <c r="K43" s="1"/>
  <c r="H13"/>
  <c r="G12"/>
  <c r="B16"/>
  <c r="B18" s="1"/>
  <c r="C17"/>
  <c r="I16"/>
  <c r="J17"/>
  <c r="J18" s="1"/>
  <c r="E16"/>
  <c r="E18" s="1"/>
  <c r="F17"/>
  <c r="F18" s="1"/>
  <c r="M13"/>
  <c r="M14" s="1"/>
  <c r="M43" s="1"/>
  <c r="L12"/>
  <c r="I13"/>
  <c r="H12"/>
  <c r="D17"/>
  <c r="C16"/>
  <c r="C18" s="1"/>
  <c r="H14" l="1"/>
  <c r="H43" s="1"/>
  <c r="L14"/>
  <c r="L43" s="1"/>
  <c r="G14"/>
  <c r="G43" s="1"/>
  <c r="D18"/>
  <c r="I18"/>
  <c r="E23"/>
  <c r="E27"/>
  <c r="E26"/>
  <c r="E25"/>
  <c r="E24"/>
  <c r="E22"/>
  <c r="I27"/>
  <c r="I26"/>
  <c r="I25"/>
  <c r="I22"/>
  <c r="I24"/>
  <c r="I23"/>
  <c r="L25"/>
  <c r="L26"/>
  <c r="L27"/>
  <c r="L24"/>
  <c r="L23"/>
  <c r="L22"/>
  <c r="C25"/>
  <c r="C23"/>
  <c r="C22"/>
  <c r="C27"/>
  <c r="C24"/>
  <c r="C26"/>
  <c r="J25"/>
  <c r="J27"/>
  <c r="J23"/>
  <c r="J24"/>
  <c r="J26"/>
  <c r="J22"/>
  <c r="G26"/>
  <c r="G27"/>
  <c r="G23"/>
  <c r="G22"/>
  <c r="G25"/>
  <c r="G24"/>
  <c r="K27"/>
  <c r="K26"/>
  <c r="K22"/>
  <c r="K25"/>
  <c r="K24"/>
  <c r="K23"/>
  <c r="M23"/>
  <c r="M25"/>
  <c r="M26"/>
  <c r="M22"/>
  <c r="M27"/>
  <c r="M24"/>
  <c r="F14"/>
  <c r="F43" s="1"/>
  <c r="D23"/>
  <c r="D27"/>
  <c r="D24"/>
  <c r="D26"/>
  <c r="D25"/>
  <c r="D22"/>
  <c r="F25"/>
  <c r="F24"/>
  <c r="F22"/>
  <c r="F23"/>
  <c r="F27"/>
  <c r="F26"/>
  <c r="B26"/>
  <c r="B25"/>
  <c r="B22"/>
  <c r="B24"/>
  <c r="B23"/>
  <c r="B27"/>
  <c r="H26"/>
  <c r="H23"/>
  <c r="H24"/>
  <c r="H25"/>
  <c r="H27"/>
  <c r="H22"/>
  <c r="I14"/>
  <c r="I43" s="1"/>
  <c r="J14"/>
  <c r="J43" s="1"/>
  <c r="J28" l="1"/>
  <c r="J40" s="1"/>
  <c r="J44" s="1"/>
  <c r="L28"/>
  <c r="L40" s="1"/>
  <c r="L44" s="1"/>
  <c r="H28"/>
  <c r="H40" s="1"/>
  <c r="H44" s="1"/>
  <c r="D28"/>
  <c r="D40" s="1"/>
  <c r="D44" s="1"/>
  <c r="K28"/>
  <c r="K40" s="1"/>
  <c r="K44" s="1"/>
  <c r="C28"/>
  <c r="C40" s="1"/>
  <c r="C44" s="1"/>
  <c r="B28"/>
  <c r="B40" s="1"/>
  <c r="B44" s="1"/>
  <c r="F28"/>
  <c r="F40" s="1"/>
  <c r="F44" s="1"/>
  <c r="M28"/>
  <c r="M40" s="1"/>
  <c r="M44" s="1"/>
  <c r="G28"/>
  <c r="G40" s="1"/>
  <c r="G44" s="1"/>
  <c r="I28"/>
  <c r="I40" s="1"/>
  <c r="I44" s="1"/>
  <c r="E28"/>
  <c r="E40" s="1"/>
  <c r="E44" s="1"/>
  <c r="I45" l="1"/>
  <c r="M45"/>
  <c r="B45"/>
  <c r="B46" s="1"/>
  <c r="K45"/>
  <c r="H45"/>
  <c r="J45"/>
  <c r="E45"/>
  <c r="G45"/>
  <c r="F45"/>
  <c r="C45"/>
  <c r="D45"/>
  <c r="L45"/>
  <c r="C46" l="1"/>
  <c r="D46" s="1"/>
  <c r="E46" l="1"/>
  <c r="F46" s="1"/>
  <c r="B48"/>
  <c r="G46" l="1"/>
  <c r="H46" s="1"/>
  <c r="I46" s="1"/>
  <c r="J46" s="1"/>
  <c r="K46" s="1"/>
  <c r="L46" s="1"/>
  <c r="M46" s="1"/>
  <c r="B4" i="4"/>
  <c r="G2" i="21" l="1"/>
  <c r="E2" s="1"/>
  <c r="J11" s="1"/>
  <c r="B16" s="1"/>
  <c r="B6" i="4"/>
  <c r="E9" i="21"/>
  <c r="B44" i="22"/>
  <c r="B46"/>
  <c r="L46" s="1"/>
  <c r="F2" i="21"/>
  <c r="G5" s="1"/>
  <c r="C10"/>
  <c r="B20"/>
  <c r="B33"/>
  <c r="B40"/>
  <c r="B45"/>
  <c r="B11"/>
  <c r="B17"/>
  <c r="B38"/>
  <c r="B43"/>
  <c r="B48"/>
  <c r="B24"/>
  <c r="B65"/>
  <c r="B72"/>
  <c r="B26"/>
  <c r="B82"/>
  <c r="B87"/>
  <c r="B61"/>
  <c r="B73"/>
  <c r="B85"/>
  <c r="B95"/>
  <c r="B104"/>
  <c r="B112"/>
  <c r="B119"/>
  <c r="B18"/>
  <c r="B42"/>
  <c r="B52"/>
  <c r="B15"/>
  <c r="B21"/>
  <c r="B22"/>
  <c r="B41"/>
  <c r="B50"/>
  <c r="B55"/>
  <c r="B62"/>
  <c r="B67"/>
  <c r="B74"/>
  <c r="B79"/>
  <c r="B89"/>
  <c r="B68"/>
  <c r="B80"/>
  <c r="B92"/>
  <c r="B97"/>
  <c r="B102"/>
  <c r="B109"/>
  <c r="B114"/>
  <c r="B124"/>
  <c r="B128"/>
  <c r="B83"/>
  <c r="B90"/>
  <c r="B27"/>
  <c r="B96"/>
  <c r="B101"/>
  <c r="B28"/>
  <c r="B108"/>
  <c r="B113"/>
  <c r="B29"/>
  <c r="B120"/>
  <c r="B125"/>
  <c r="B121"/>
  <c r="B126"/>
  <c r="B129"/>
  <c r="B54"/>
  <c r="B57"/>
  <c r="B59"/>
  <c r="B66"/>
  <c r="B69"/>
  <c r="B71"/>
  <c r="B78"/>
  <c r="B93"/>
  <c r="B94"/>
  <c r="B98"/>
  <c r="B99"/>
  <c r="B103"/>
  <c r="B105"/>
  <c r="B106"/>
  <c r="B110"/>
  <c r="B111"/>
  <c r="B115"/>
  <c r="B117"/>
  <c r="B118"/>
  <c r="B122"/>
  <c r="B123"/>
  <c r="B127"/>
  <c r="B30"/>
  <c r="B10"/>
  <c r="B56" l="1"/>
  <c r="B84"/>
  <c r="B75"/>
  <c r="B70"/>
  <c r="B63"/>
  <c r="B58"/>
  <c r="B51"/>
  <c r="B46"/>
  <c r="B36"/>
  <c r="B31"/>
  <c r="B19"/>
  <c r="B14"/>
  <c r="B47"/>
  <c r="B37"/>
  <c r="B13"/>
  <c r="B116"/>
  <c r="B107"/>
  <c r="B100"/>
  <c r="B88"/>
  <c r="B76"/>
  <c r="B64"/>
  <c r="B91"/>
  <c r="B86"/>
  <c r="B81"/>
  <c r="B77"/>
  <c r="B25"/>
  <c r="B60"/>
  <c r="B53"/>
  <c r="B23"/>
  <c r="B39"/>
  <c r="B34"/>
  <c r="B12"/>
  <c r="B49"/>
  <c r="B44"/>
  <c r="B35"/>
  <c r="B32"/>
  <c r="J3"/>
  <c r="J4" s="1"/>
  <c r="K32"/>
  <c r="B48" i="22"/>
  <c r="C4" i="25" s="1"/>
  <c r="E4" s="1"/>
  <c r="H40" i="21"/>
  <c r="H34"/>
  <c r="H38"/>
  <c r="H36"/>
  <c r="B130"/>
  <c r="D10"/>
  <c r="H33"/>
  <c r="H42"/>
  <c r="H41"/>
  <c r="H39"/>
  <c r="H37"/>
  <c r="H35"/>
  <c r="E10" l="1"/>
  <c r="H43"/>
  <c r="C11" l="1"/>
  <c r="D11" l="1"/>
  <c r="E11" l="1"/>
  <c r="C12" l="1"/>
  <c r="J12"/>
  <c r="D12" l="1"/>
  <c r="E12" l="1"/>
  <c r="C13" l="1"/>
  <c r="D13" l="1"/>
  <c r="E13" l="1"/>
  <c r="C14" l="1"/>
  <c r="D14" l="1"/>
  <c r="E14" l="1"/>
  <c r="C15" l="1"/>
  <c r="D15" s="1"/>
  <c r="E15" s="1"/>
  <c r="C16" l="1"/>
  <c r="D16" s="1"/>
  <c r="E16" s="1"/>
  <c r="C17" l="1"/>
  <c r="D17" s="1"/>
  <c r="E17" s="1"/>
  <c r="C18" l="1"/>
  <c r="D18" s="1"/>
  <c r="E18" s="1"/>
  <c r="C19" l="1"/>
  <c r="D19" s="1"/>
  <c r="E19" s="1"/>
  <c r="C20" l="1"/>
  <c r="D20" s="1"/>
  <c r="E20" s="1"/>
  <c r="C21" l="1"/>
  <c r="D21" l="1"/>
  <c r="E21" s="1"/>
  <c r="I33"/>
  <c r="C22" l="1"/>
  <c r="J33"/>
  <c r="K33" l="1"/>
  <c r="D22"/>
  <c r="E22" s="1"/>
  <c r="C23" l="1"/>
  <c r="D23" l="1"/>
  <c r="E23" s="1"/>
  <c r="C24" l="1"/>
  <c r="D24" l="1"/>
  <c r="E24" s="1"/>
  <c r="C25" l="1"/>
  <c r="D25" l="1"/>
  <c r="E25" s="1"/>
  <c r="C26" l="1"/>
  <c r="D26" l="1"/>
  <c r="E26" s="1"/>
  <c r="C27" l="1"/>
  <c r="D27" s="1"/>
  <c r="E27" s="1"/>
  <c r="C28" l="1"/>
  <c r="D28" s="1"/>
  <c r="E28" s="1"/>
  <c r="C29" l="1"/>
  <c r="D29" s="1"/>
  <c r="E29" s="1"/>
  <c r="C30" l="1"/>
  <c r="D30" s="1"/>
  <c r="E30" s="1"/>
  <c r="C31" l="1"/>
  <c r="D31" s="1"/>
  <c r="E31" s="1"/>
  <c r="C32" l="1"/>
  <c r="D32" s="1"/>
  <c r="E32" s="1"/>
  <c r="C33" l="1"/>
  <c r="D33" l="1"/>
  <c r="E33" s="1"/>
  <c r="I34"/>
  <c r="C34" l="1"/>
  <c r="J34"/>
  <c r="K34" l="1"/>
  <c r="D34"/>
  <c r="E34" s="1"/>
  <c r="C35" l="1"/>
  <c r="D35" l="1"/>
  <c r="E35" s="1"/>
  <c r="C36" l="1"/>
  <c r="D36" l="1"/>
  <c r="E36" s="1"/>
  <c r="C37" l="1"/>
  <c r="D37" l="1"/>
  <c r="E37" s="1"/>
  <c r="C38" l="1"/>
  <c r="D38" l="1"/>
  <c r="E38" s="1"/>
  <c r="C39" l="1"/>
  <c r="D39" s="1"/>
  <c r="E39" s="1"/>
  <c r="C40" l="1"/>
  <c r="D40" s="1"/>
  <c r="E40" s="1"/>
  <c r="C41" l="1"/>
  <c r="D41" s="1"/>
  <c r="E41" s="1"/>
  <c r="C42" l="1"/>
  <c r="D42" s="1"/>
  <c r="E42" s="1"/>
  <c r="C43" l="1"/>
  <c r="D43" s="1"/>
  <c r="E43" s="1"/>
  <c r="C44" l="1"/>
  <c r="D44" s="1"/>
  <c r="E44" s="1"/>
  <c r="C45" l="1"/>
  <c r="D45" l="1"/>
  <c r="E45" s="1"/>
  <c r="I35"/>
  <c r="C46" l="1"/>
  <c r="J35"/>
  <c r="K35" l="1"/>
  <c r="D46"/>
  <c r="E46" s="1"/>
  <c r="C47" l="1"/>
  <c r="D47" l="1"/>
  <c r="E47" s="1"/>
  <c r="C48" l="1"/>
  <c r="D48" l="1"/>
  <c r="E48" s="1"/>
  <c r="C49" l="1"/>
  <c r="D49" l="1"/>
  <c r="E49" s="1"/>
  <c r="C50" l="1"/>
  <c r="D50" l="1"/>
  <c r="E50" s="1"/>
  <c r="C51" l="1"/>
  <c r="D51" s="1"/>
  <c r="E51" s="1"/>
  <c r="C52" l="1"/>
  <c r="D52" s="1"/>
  <c r="E52" s="1"/>
  <c r="C53" l="1"/>
  <c r="D53" s="1"/>
  <c r="E53" s="1"/>
  <c r="C54" l="1"/>
  <c r="D54" s="1"/>
  <c r="E54" s="1"/>
  <c r="C55" l="1"/>
  <c r="D55" s="1"/>
  <c r="E55" s="1"/>
  <c r="C56" l="1"/>
  <c r="D56" s="1"/>
  <c r="E56" s="1"/>
  <c r="C57" l="1"/>
  <c r="D57" l="1"/>
  <c r="E57" s="1"/>
  <c r="I36"/>
  <c r="C58" l="1"/>
  <c r="J36"/>
  <c r="K36" l="1"/>
  <c r="D58"/>
  <c r="E58" s="1"/>
  <c r="C59" l="1"/>
  <c r="D59" l="1"/>
  <c r="E59" s="1"/>
  <c r="C60" l="1"/>
  <c r="D60" l="1"/>
  <c r="E60" s="1"/>
  <c r="C61" l="1"/>
  <c r="D61" l="1"/>
  <c r="E61" s="1"/>
  <c r="C62" l="1"/>
  <c r="D62" l="1"/>
  <c r="E62" s="1"/>
  <c r="C63" l="1"/>
  <c r="D63" s="1"/>
  <c r="E63" s="1"/>
  <c r="C64" l="1"/>
  <c r="D64" s="1"/>
  <c r="E64" s="1"/>
  <c r="C65" l="1"/>
  <c r="D65" s="1"/>
  <c r="E65" s="1"/>
  <c r="C66" l="1"/>
  <c r="D66" s="1"/>
  <c r="E66" s="1"/>
  <c r="C67" l="1"/>
  <c r="D67" s="1"/>
  <c r="E67" s="1"/>
  <c r="C68" l="1"/>
  <c r="D68" s="1"/>
  <c r="E68" s="1"/>
  <c r="C69" l="1"/>
  <c r="D69" l="1"/>
  <c r="E69" s="1"/>
  <c r="I37"/>
  <c r="C70" l="1"/>
  <c r="J37"/>
  <c r="K37" l="1"/>
  <c r="D70"/>
  <c r="E70" s="1"/>
  <c r="C71" l="1"/>
  <c r="D71" l="1"/>
  <c r="E71" s="1"/>
  <c r="C72" l="1"/>
  <c r="D72" l="1"/>
  <c r="E72" s="1"/>
  <c r="C73" l="1"/>
  <c r="D73" l="1"/>
  <c r="E73" s="1"/>
  <c r="C74" l="1"/>
  <c r="D74" l="1"/>
  <c r="E74" s="1"/>
  <c r="C75" l="1"/>
  <c r="D75" s="1"/>
  <c r="E75" s="1"/>
  <c r="C76" l="1"/>
  <c r="D76" s="1"/>
  <c r="E76" s="1"/>
  <c r="C77" l="1"/>
  <c r="D77" s="1"/>
  <c r="E77" s="1"/>
  <c r="C78" l="1"/>
  <c r="D78" s="1"/>
  <c r="E78" s="1"/>
  <c r="C79" l="1"/>
  <c r="D79" s="1"/>
  <c r="E79" s="1"/>
  <c r="C80" l="1"/>
  <c r="D80" s="1"/>
  <c r="E80" s="1"/>
  <c r="C81" l="1"/>
  <c r="D81" l="1"/>
  <c r="E81" s="1"/>
  <c r="I38"/>
  <c r="J38" s="1"/>
  <c r="K38" s="1"/>
  <c r="C82" l="1"/>
  <c r="D82" l="1"/>
  <c r="E82" s="1"/>
  <c r="C83" l="1"/>
  <c r="D83" l="1"/>
  <c r="E83" s="1"/>
  <c r="C84" l="1"/>
  <c r="D84" l="1"/>
  <c r="E84" s="1"/>
  <c r="C85" l="1"/>
  <c r="D85" l="1"/>
  <c r="E85" s="1"/>
  <c r="C86" l="1"/>
  <c r="D86" l="1"/>
  <c r="E86" s="1"/>
  <c r="C87" l="1"/>
  <c r="D87" s="1"/>
  <c r="E87" s="1"/>
  <c r="C88" l="1"/>
  <c r="D88" s="1"/>
  <c r="E88" s="1"/>
  <c r="C89" l="1"/>
  <c r="D89" s="1"/>
  <c r="E89" s="1"/>
  <c r="C90" l="1"/>
  <c r="D90" s="1"/>
  <c r="E90" s="1"/>
  <c r="C91" l="1"/>
  <c r="D91" s="1"/>
  <c r="E91" s="1"/>
  <c r="C92" l="1"/>
  <c r="D92" s="1"/>
  <c r="E92" s="1"/>
  <c r="C93" l="1"/>
  <c r="D93" l="1"/>
  <c r="E93" s="1"/>
  <c r="I39"/>
  <c r="J39" s="1"/>
  <c r="K39" s="1"/>
  <c r="C94" l="1"/>
  <c r="D94" l="1"/>
  <c r="E94" s="1"/>
  <c r="C95" l="1"/>
  <c r="D95" l="1"/>
  <c r="E95" s="1"/>
  <c r="C96" l="1"/>
  <c r="D96" l="1"/>
  <c r="E96" s="1"/>
  <c r="C97" l="1"/>
  <c r="D97" l="1"/>
  <c r="E97" s="1"/>
  <c r="C98" l="1"/>
  <c r="D98" l="1"/>
  <c r="E98" s="1"/>
  <c r="C99" l="1"/>
  <c r="D99" s="1"/>
  <c r="E99" s="1"/>
  <c r="C100" l="1"/>
  <c r="D100" s="1"/>
  <c r="E100" s="1"/>
  <c r="C101" l="1"/>
  <c r="D101" s="1"/>
  <c r="E101" s="1"/>
  <c r="C102" l="1"/>
  <c r="D102" s="1"/>
  <c r="E102" s="1"/>
  <c r="C103" l="1"/>
  <c r="D103" s="1"/>
  <c r="E103" s="1"/>
  <c r="C104" l="1"/>
  <c r="D104" s="1"/>
  <c r="E104" s="1"/>
  <c r="C105" l="1"/>
  <c r="D105" l="1"/>
  <c r="E105" s="1"/>
  <c r="I40"/>
  <c r="J40" s="1"/>
  <c r="K40" s="1"/>
  <c r="C106" l="1"/>
  <c r="D106" l="1"/>
  <c r="E106" s="1"/>
  <c r="C107" l="1"/>
  <c r="D107" l="1"/>
  <c r="E107" s="1"/>
  <c r="C108" l="1"/>
  <c r="D108" l="1"/>
  <c r="E108" s="1"/>
  <c r="C109" l="1"/>
  <c r="D109" l="1"/>
  <c r="E109" s="1"/>
  <c r="C110" l="1"/>
  <c r="D110" l="1"/>
  <c r="E110" s="1"/>
  <c r="C111" l="1"/>
  <c r="D111" s="1"/>
  <c r="E111" s="1"/>
  <c r="C112" l="1"/>
  <c r="D112" s="1"/>
  <c r="E112" s="1"/>
  <c r="C113" l="1"/>
  <c r="D113" s="1"/>
  <c r="E113" s="1"/>
  <c r="C114" l="1"/>
  <c r="D114" s="1"/>
  <c r="E114" s="1"/>
  <c r="C115" l="1"/>
  <c r="D115" s="1"/>
  <c r="E115" s="1"/>
  <c r="C116" l="1"/>
  <c r="D116" s="1"/>
  <c r="E116" s="1"/>
  <c r="C117" l="1"/>
  <c r="D117" l="1"/>
  <c r="E117" s="1"/>
  <c r="I41"/>
  <c r="J41" s="1"/>
  <c r="K41" s="1"/>
  <c r="C118" l="1"/>
  <c r="D118" l="1"/>
  <c r="E118" s="1"/>
  <c r="C119" l="1"/>
  <c r="D119" l="1"/>
  <c r="E119" s="1"/>
  <c r="C120" l="1"/>
  <c r="D120" l="1"/>
  <c r="E120" s="1"/>
  <c r="C121" l="1"/>
  <c r="D121" l="1"/>
  <c r="E121" s="1"/>
  <c r="C122" l="1"/>
  <c r="D122" l="1"/>
  <c r="E122" s="1"/>
  <c r="C123" l="1"/>
  <c r="D123" s="1"/>
  <c r="E123" s="1"/>
  <c r="C124" l="1"/>
  <c r="D124" s="1"/>
  <c r="E124" s="1"/>
  <c r="C125" l="1"/>
  <c r="D125" s="1"/>
  <c r="E125" s="1"/>
  <c r="C126" l="1"/>
  <c r="D126" s="1"/>
  <c r="E126" s="1"/>
  <c r="C127" l="1"/>
  <c r="D127" s="1"/>
  <c r="E127" s="1"/>
  <c r="C128" l="1"/>
  <c r="D128" s="1"/>
  <c r="E128" s="1"/>
  <c r="C129" l="1"/>
  <c r="D129" l="1"/>
  <c r="C130"/>
  <c r="I42"/>
  <c r="J42" l="1"/>
  <c r="C30" i="22" a="1"/>
  <c r="I43" i="21"/>
  <c r="D130"/>
  <c r="E129"/>
  <c r="C45" i="22" l="1" a="1"/>
  <c r="J43" i="21"/>
  <c r="K42"/>
  <c r="E30" i="22"/>
  <c r="E32" s="1"/>
  <c r="L30"/>
  <c r="L32" s="1"/>
  <c r="K30"/>
  <c r="K32" s="1"/>
  <c r="C30"/>
  <c r="D30"/>
  <c r="D32" s="1"/>
  <c r="I30"/>
  <c r="I32" s="1"/>
  <c r="G30"/>
  <c r="G32" s="1"/>
  <c r="F30"/>
  <c r="F32" s="1"/>
  <c r="H30"/>
  <c r="H32" s="1"/>
  <c r="J30"/>
  <c r="J32" s="1"/>
  <c r="J33" l="1"/>
  <c r="F33"/>
  <c r="F34" s="1"/>
  <c r="F36" s="1"/>
  <c r="I33"/>
  <c r="I34" s="1"/>
  <c r="I36" s="1"/>
  <c r="L33"/>
  <c r="H45"/>
  <c r="F45"/>
  <c r="L45"/>
  <c r="D45"/>
  <c r="K45"/>
  <c r="C45"/>
  <c r="G45"/>
  <c r="I45"/>
  <c r="J45"/>
  <c r="E45"/>
  <c r="H33"/>
  <c r="H34" s="1"/>
  <c r="H36" s="1"/>
  <c r="H48" s="1"/>
  <c r="G33"/>
  <c r="G34" s="1"/>
  <c r="D33"/>
  <c r="D34" s="1"/>
  <c r="K33"/>
  <c r="K34" s="1"/>
  <c r="E33"/>
  <c r="E34" s="1"/>
  <c r="E36" l="1"/>
  <c r="E48" s="1"/>
  <c r="I48"/>
  <c r="K36"/>
  <c r="K48" s="1"/>
  <c r="L34"/>
  <c r="L36" s="1"/>
  <c r="L48" s="1"/>
  <c r="F48"/>
  <c r="G36"/>
  <c r="G48" s="1"/>
  <c r="J34"/>
  <c r="J36" s="1"/>
  <c r="J48" s="1"/>
  <c r="D36"/>
  <c r="D48" s="1"/>
  <c r="C28"/>
  <c r="C32" s="1"/>
  <c r="C33" l="1"/>
  <c r="C34" s="1"/>
  <c r="C36" s="1"/>
  <c r="C48" s="1"/>
  <c r="D4" i="25" s="1" a="1"/>
  <c r="D12" l="1"/>
  <c r="D11"/>
  <c r="D9"/>
  <c r="D7"/>
  <c r="D5"/>
  <c r="D13"/>
  <c r="D10"/>
  <c r="D8"/>
  <c r="D6"/>
  <c r="B52" i="22"/>
  <c r="D4" i="25"/>
  <c r="F4" s="1"/>
  <c r="B51" i="22"/>
  <c r="C5" i="25" l="1"/>
  <c r="E5" l="1"/>
  <c r="F5" s="1"/>
  <c r="C6" l="1"/>
  <c r="E6"/>
  <c r="F6" s="1"/>
  <c r="C7" s="1"/>
  <c r="E7" l="1"/>
  <c r="F7" s="1"/>
  <c r="C8" l="1"/>
  <c r="E8" l="1"/>
  <c r="C9" l="1"/>
  <c r="E9" s="1"/>
  <c r="F9" s="1"/>
  <c r="C10" s="1"/>
  <c r="E10" l="1"/>
  <c r="F10" s="1"/>
  <c r="C11" s="1"/>
  <c r="E11" l="1"/>
  <c r="F11" s="1"/>
  <c r="C12" s="1"/>
  <c r="E12" l="1"/>
  <c r="F12" s="1"/>
  <c r="C13" s="1"/>
  <c r="E13" s="1"/>
  <c r="F13" s="1"/>
</calcChain>
</file>

<file path=xl/sharedStrings.xml><?xml version="1.0" encoding="utf-8"?>
<sst xmlns="http://schemas.openxmlformats.org/spreadsheetml/2006/main" count="526" uniqueCount="309">
  <si>
    <t>BALANCE DE OBRAS FISICAS</t>
  </si>
  <si>
    <t>Rubro</t>
  </si>
  <si>
    <t>Unidad de Medida</t>
  </si>
  <si>
    <t>Cantidad</t>
  </si>
  <si>
    <t>Costo Unitario</t>
  </si>
  <si>
    <t>Costo Total</t>
  </si>
  <si>
    <t>m2</t>
  </si>
  <si>
    <t xml:space="preserve">TERRENO </t>
  </si>
  <si>
    <t>BODEGA</t>
  </si>
  <si>
    <t>Unidad</t>
  </si>
  <si>
    <t>INSTALACIÓN DE BAÑOS</t>
  </si>
  <si>
    <t>CASETA DE VIGILANCIA</t>
  </si>
  <si>
    <t>BALANCE DEL PERSONAL</t>
  </si>
  <si>
    <t>CARGO</t>
  </si>
  <si>
    <t># PUESTO</t>
  </si>
  <si>
    <t>Asistente de compra</t>
  </si>
  <si>
    <t>Contador</t>
  </si>
  <si>
    <t>Bodeguero</t>
  </si>
  <si>
    <t>Chofer</t>
  </si>
  <si>
    <t>TOTAL DE EMPLEADOS</t>
  </si>
  <si>
    <t>UNITARIA</t>
  </si>
  <si>
    <t>REMUNERACIÓN MENSUAL</t>
  </si>
  <si>
    <t>TOTAL</t>
  </si>
  <si>
    <t>REMUNERACIÓN ANUAL</t>
  </si>
  <si>
    <t>DECIMO TERCERO</t>
  </si>
  <si>
    <t>DECIMO CUARTO</t>
  </si>
  <si>
    <t>MAQUINAS</t>
  </si>
  <si>
    <t>Camión</t>
  </si>
  <si>
    <t>CANTIDAD</t>
  </si>
  <si>
    <t>Computadoras</t>
  </si>
  <si>
    <t>Impresoras</t>
  </si>
  <si>
    <t>BALANCE DE EQUIPOS Y MAQUINARIAS</t>
  </si>
  <si>
    <t>EQUIPOS</t>
  </si>
  <si>
    <t>Fax</t>
  </si>
  <si>
    <t>Teléfonos</t>
  </si>
  <si>
    <t>Copiadora</t>
  </si>
  <si>
    <t>MUEBLES</t>
  </si>
  <si>
    <t>Escritorios</t>
  </si>
  <si>
    <t>Escritorios Gerenciales</t>
  </si>
  <si>
    <t>Sillas</t>
  </si>
  <si>
    <t>Sillas de Oficina</t>
  </si>
  <si>
    <t>Redes de Agua Potable</t>
  </si>
  <si>
    <t>Redes Eléctricas</t>
  </si>
  <si>
    <t>puntos</t>
  </si>
  <si>
    <t>puntos de iluminación</t>
  </si>
  <si>
    <t>puntos electricos</t>
  </si>
  <si>
    <t>tablero</t>
  </si>
  <si>
    <t>Valor de Desecho</t>
  </si>
  <si>
    <t>MAQUINARIA</t>
  </si>
  <si>
    <t>AÑOS</t>
  </si>
  <si>
    <t>R</t>
  </si>
  <si>
    <t>Vendedores</t>
  </si>
  <si>
    <t>CALENDARIO DE INGRESO POR VENTAS DE MAQUINARIA, EQUIPO Y MUEBLE</t>
  </si>
  <si>
    <t>I.V</t>
  </si>
  <si>
    <t>ESTUDIO DE LOCALIZACIÓN</t>
  </si>
  <si>
    <t>FACTOR</t>
  </si>
  <si>
    <t>PESO</t>
  </si>
  <si>
    <t>CALIFICACIÓN</t>
  </si>
  <si>
    <t>PONDERACIÓN</t>
  </si>
  <si>
    <t>Materia Prima Disponible</t>
  </si>
  <si>
    <t>Cercanía del Mercado</t>
  </si>
  <si>
    <t>Disponibilidad de Mano de Obra</t>
  </si>
  <si>
    <t>Costos de Insumos</t>
  </si>
  <si>
    <t>INVERSIÓN TOTAL</t>
  </si>
  <si>
    <t>COSTOS FIJOS</t>
  </si>
  <si>
    <t>Seguro</t>
  </si>
  <si>
    <t>Teléfono</t>
  </si>
  <si>
    <t>Internet</t>
  </si>
  <si>
    <t>G. Administrativo</t>
  </si>
  <si>
    <t>Agua</t>
  </si>
  <si>
    <t>G. Publicidad</t>
  </si>
  <si>
    <t>comprende como los gastos de papeleria, comisiones, alimentos, mensajería, otros.</t>
  </si>
  <si>
    <t>comprende cada una de los gastos para la promoción de este nuevo producto, como afiches, volantes, banner, vallas publicitarias, publicaciones en revistas.</t>
  </si>
  <si>
    <t>RUBROS</t>
  </si>
  <si>
    <t>MENSUAL</t>
  </si>
  <si>
    <t>ANUAL</t>
  </si>
  <si>
    <t>Sueldos y Salarios</t>
  </si>
  <si>
    <t>Luz</t>
  </si>
  <si>
    <t>Empaque de 40 gr.</t>
  </si>
  <si>
    <t>Producto</t>
  </si>
  <si>
    <t>1 unidad</t>
  </si>
  <si>
    <t>PRECIO DE MATERIA PRIMA</t>
  </si>
  <si>
    <t>MATERIA PRIMA</t>
  </si>
  <si>
    <t>PRECIO UNITARIO</t>
  </si>
  <si>
    <t>Precio</t>
  </si>
  <si>
    <t>Presentacion</t>
  </si>
  <si>
    <t>Part. En Ventas</t>
  </si>
  <si>
    <t>Costo Fijo Total($)</t>
  </si>
  <si>
    <t>Costo Variable Unitario ($)</t>
  </si>
  <si>
    <t>Punto de Equilibrio (Unidades)</t>
  </si>
  <si>
    <t>VALORACION DE ACTIVOS FIJOS</t>
  </si>
  <si>
    <t>VEHICULO</t>
  </si>
  <si>
    <t>Precio Final del Consumidor</t>
  </si>
  <si>
    <t>VALORACION DE ACTIVOS FIJOS  PARA UN FLUJO DE 10 AÑOS</t>
  </si>
  <si>
    <t>MÉTODO CONTABLE</t>
  </si>
  <si>
    <t>ACTIVO</t>
  </si>
  <si>
    <t>VALOR DE COMPRA</t>
  </si>
  <si>
    <t>VIDA CONTABLE</t>
  </si>
  <si>
    <t>Maquinaria</t>
  </si>
  <si>
    <t>Vehiculo</t>
  </si>
  <si>
    <t>Costo fijo x Producir</t>
  </si>
  <si>
    <t>Precio a Distribuidores</t>
  </si>
  <si>
    <t>C alculo de Valor de Desecho</t>
  </si>
  <si>
    <t>AÑOS DEPRECIANDOSE</t>
  </si>
  <si>
    <t>DEPRECIACION ACUMULADA</t>
  </si>
  <si>
    <t>VALOR EN LIBRO</t>
  </si>
  <si>
    <t>DEPRECIACION ANUAL</t>
  </si>
  <si>
    <t>Terreno</t>
  </si>
  <si>
    <t>Inversión Inicial en Construcciones</t>
  </si>
  <si>
    <t>Depreciación Acumulada</t>
  </si>
  <si>
    <t>Equipo de Computación</t>
  </si>
  <si>
    <t>sueldo mensual</t>
  </si>
  <si>
    <t>Mano de Obra Directa</t>
  </si>
  <si>
    <t>CALCULO DE LA MANO DE OBRA DIRECTA</t>
  </si>
  <si>
    <t>Producción Total</t>
  </si>
  <si>
    <t>Demanda Mensual</t>
  </si>
  <si>
    <t>Demanda Anual</t>
  </si>
  <si>
    <t>Costo de Mano de Obra Directa</t>
  </si>
  <si>
    <t>Demanda Diaria</t>
  </si>
  <si>
    <t>año comercial 360</t>
  </si>
  <si>
    <t>PRECIO</t>
  </si>
  <si>
    <t>VENTAS UNIDADES</t>
  </si>
  <si>
    <t>TOTAL DE INGRESOS</t>
  </si>
  <si>
    <t>crecimiento de ventas</t>
  </si>
  <si>
    <t>%</t>
  </si>
  <si>
    <t xml:space="preserve">  </t>
  </si>
  <si>
    <t>AÑO</t>
  </si>
  <si>
    <t>DEMANDA  DIARIA</t>
  </si>
  <si>
    <t>DEMANDA ANUAL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</si>
  <si>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</si>
  <si>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</si>
  <si>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</si>
  <si>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</si>
  <si>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</si>
  <si>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</si>
  <si>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</si>
  <si>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</si>
  <si>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</si>
  <si>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</si>
  <si>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</si>
  <si>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</si>
  <si>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PRODUCCION ANUAL</t>
  </si>
  <si>
    <t>INGRESOS</t>
  </si>
  <si>
    <t>INGRESO MENSUAL</t>
  </si>
  <si>
    <t>CONTADO</t>
  </si>
  <si>
    <t>CREDITO A 30 DIAS</t>
  </si>
  <si>
    <t>VENTAS</t>
  </si>
  <si>
    <t>INVENTARIO INICIAL</t>
  </si>
  <si>
    <t>INVENTARIO FINAL</t>
  </si>
  <si>
    <t>PROGRAMA DE PRODUCCIÓN</t>
  </si>
  <si>
    <t>EGRESOS</t>
  </si>
  <si>
    <t>COSTOS VARIABLES</t>
  </si>
  <si>
    <t>TOTAL DE COSTOS VARIABLES</t>
  </si>
  <si>
    <t>Precio Unitario</t>
  </si>
  <si>
    <t>Precio Total</t>
  </si>
  <si>
    <t>TOTAL DE COSTOS FIJOS</t>
  </si>
  <si>
    <t>EGRESO MENSUAL</t>
  </si>
  <si>
    <t>SALDO MENSUAL</t>
  </si>
  <si>
    <t>SALDO ACUMULADO</t>
  </si>
  <si>
    <t>CAPITAL DE TRABAJO</t>
  </si>
  <si>
    <t>ESTRUCTURA FINANCIERA</t>
  </si>
  <si>
    <t>PORCENTAJE DE APALANCAMIENTO</t>
  </si>
  <si>
    <t>PRÉSTAMO</t>
  </si>
  <si>
    <t>CAPITAL PROPIO</t>
  </si>
  <si>
    <t>PERIODO</t>
  </si>
  <si>
    <t>CUOTA</t>
  </si>
  <si>
    <t>INTERES</t>
  </si>
  <si>
    <t>AMORTIZACIÓN</t>
  </si>
  <si>
    <t>CAPITAL VIVO</t>
  </si>
  <si>
    <t>PRESTAMO</t>
  </si>
  <si>
    <t xml:space="preserve">CAPITAL PROPIO </t>
  </si>
  <si>
    <t>Nº DE PAGOS</t>
  </si>
  <si>
    <t>VALOR DE DEUDA</t>
  </si>
  <si>
    <t>CUOTAS</t>
  </si>
  <si>
    <t>CRECIMIENTO DE VENTAS</t>
  </si>
  <si>
    <t>Ventas-Unidades</t>
  </si>
  <si>
    <t>TOTAL DE INGRESO</t>
  </si>
  <si>
    <t>Costo por Gramo</t>
  </si>
  <si>
    <t>Gramos Utilizado</t>
  </si>
  <si>
    <t>Desperdicio por Gramo</t>
  </si>
  <si>
    <t>Costo de Ventas</t>
  </si>
  <si>
    <t>UTILIDAD BRUTA EN VENTA</t>
  </si>
  <si>
    <t>PRECIO DE VENTA</t>
  </si>
  <si>
    <t>EGRESOS O COSTOS</t>
  </si>
  <si>
    <t>Costos Variables o Producción</t>
  </si>
  <si>
    <t>Costos Fijos</t>
  </si>
  <si>
    <t>Total Egresos o Costos</t>
  </si>
  <si>
    <t>Depreciacion</t>
  </si>
  <si>
    <t>Intereses</t>
  </si>
  <si>
    <t>Otros Ingresos</t>
  </si>
  <si>
    <t xml:space="preserve">Venta de Activos </t>
  </si>
  <si>
    <t xml:space="preserve">Participacion de los Trabadores </t>
  </si>
  <si>
    <t>Impuesto</t>
  </si>
  <si>
    <t>Prestamo</t>
  </si>
  <si>
    <t>Amortizacion</t>
  </si>
  <si>
    <t>Capital de trabajo</t>
  </si>
  <si>
    <t>Valor de desecho</t>
  </si>
  <si>
    <t>Flujo de Caja</t>
  </si>
  <si>
    <t>DESCRIPCION</t>
  </si>
  <si>
    <t>LB/QUINTAL</t>
  </si>
  <si>
    <t>$/QUINTAL</t>
  </si>
  <si>
    <t>LB/GR</t>
  </si>
  <si>
    <t>1 LIBRA</t>
  </si>
  <si>
    <t>GR</t>
  </si>
  <si>
    <t>$/GR.</t>
  </si>
  <si>
    <t>Guardia</t>
  </si>
  <si>
    <t>CALENDARIO DE REINVERSIÓN DE MAQUINAS, EQUIPOS Y MUEBLES</t>
  </si>
  <si>
    <t>PORCENTAJE DE VENTA</t>
  </si>
  <si>
    <t>Compra de Activos</t>
  </si>
  <si>
    <t>UTILIDAD ANTES DE INTERESES E IMPUESTOS</t>
  </si>
  <si>
    <t>UTILIDAD ANTES DE IMPUESTOS</t>
  </si>
  <si>
    <t>PARTICIPACIÓN DE TRABAJADORES</t>
  </si>
  <si>
    <t>IMPUESTOS</t>
  </si>
  <si>
    <t>TIR</t>
  </si>
  <si>
    <t>30% a 30 Dias</t>
  </si>
  <si>
    <t>RECUPERACIÓN DE INVERSIÓN</t>
  </si>
  <si>
    <t>TMAR</t>
  </si>
  <si>
    <t>PERIODO(AÑOS)</t>
  </si>
  <si>
    <t>SALDO INVERSIÓN</t>
  </si>
  <si>
    <t>FLUJO DE CAJA</t>
  </si>
  <si>
    <t>RENTABILIDAD EXIGIDA</t>
  </si>
  <si>
    <t>RECUPERACIÓN INVERSIÓN</t>
  </si>
  <si>
    <t>ANÁLISIS DE SENSIBILIDAD</t>
  </si>
  <si>
    <t>Variable</t>
  </si>
  <si>
    <t>Porcentaje</t>
  </si>
  <si>
    <t>Variación</t>
  </si>
  <si>
    <t>VAN</t>
  </si>
  <si>
    <t>Resultado</t>
  </si>
  <si>
    <t>No Factible</t>
  </si>
  <si>
    <t>Factible</t>
  </si>
  <si>
    <t>Precio Venta</t>
  </si>
  <si>
    <t>Demanda</t>
  </si>
  <si>
    <t>Costos Totales</t>
  </si>
  <si>
    <t>PROYECCION DE CAPITAL  DE TRABAJO</t>
  </si>
  <si>
    <t>TASA DE CRECIMIENTO</t>
  </si>
  <si>
    <t>UTILIDAD NETA</t>
  </si>
  <si>
    <t>COSTOS MENSUALES</t>
  </si>
  <si>
    <t>G. Distribución y Ventas</t>
  </si>
  <si>
    <t>TOTAL DE REINVERSION</t>
  </si>
  <si>
    <t>Muebles y Enseres</t>
  </si>
  <si>
    <t>REINVERSION EN 10 AÑOS</t>
  </si>
  <si>
    <t>70 % AL CONTADO</t>
  </si>
  <si>
    <t>G.Distribución y Venta</t>
  </si>
  <si>
    <t>TASA ANUAL</t>
  </si>
  <si>
    <t>TASA MENSUAL</t>
  </si>
  <si>
    <t>TABLA DE AMORTIZACIÓN(MENSUAL)</t>
  </si>
  <si>
    <t>TABLA DE AMORTIZACIÓN (ANUAL)</t>
  </si>
  <si>
    <t>Reemplazo de Activos</t>
  </si>
  <si>
    <t xml:space="preserve">Lanzamiento de nuevo producto </t>
  </si>
  <si>
    <t>Capacitación del personal</t>
  </si>
  <si>
    <t>Permisos de Constitución (RUC, BOMBEROS, SALUD, TASAS MUNICIPALES, patente, tierra, OTROS)</t>
  </si>
  <si>
    <t>GASTO DE CONSTITUCION (INVERSION DE ACTIVOS DIFERIDOS)</t>
  </si>
  <si>
    <t>INVERSION INICIAL</t>
  </si>
  <si>
    <t>TOTAL DE ACTIVOS FIJOS</t>
  </si>
  <si>
    <t>Inversión de Activos Fijos</t>
  </si>
  <si>
    <t>Inversión de Activos Diferidos</t>
  </si>
  <si>
    <t>Costo variable x producir</t>
  </si>
  <si>
    <t>Costo Total del Producto</t>
  </si>
  <si>
    <t>SAUCES</t>
  </si>
  <si>
    <t>PRADERA</t>
  </si>
  <si>
    <t>Jefe de RRHH</t>
  </si>
  <si>
    <t>Jefe de Marketing y Ventas</t>
  </si>
  <si>
    <t>Jefe de Produccion</t>
  </si>
  <si>
    <t>Jefe Financiero y Administrativo</t>
  </si>
  <si>
    <t>Asistente de Nómina</t>
  </si>
  <si>
    <t>Gerente General</t>
  </si>
  <si>
    <t>PLANTA (5 Oficinas y 1 sala de reunión)</t>
  </si>
  <si>
    <t xml:space="preserve">INVERSION DE ACTIVOS FIJOS </t>
  </si>
  <si>
    <t>INVERSION DE ACTIVOS DIFERIDOS (Gastos de Constitución)</t>
  </si>
  <si>
    <t>Maquina Amazadora</t>
  </si>
  <si>
    <t>Horno</t>
  </si>
  <si>
    <t>Maquina Moldeadora</t>
  </si>
  <si>
    <t>Espigueros</t>
  </si>
  <si>
    <t>Maquina Empacadora</t>
  </si>
  <si>
    <t>20 gr</t>
  </si>
  <si>
    <t>Harina</t>
  </si>
  <si>
    <t>x caja</t>
  </si>
  <si>
    <t>COMPOSICION DE 20 GR</t>
  </si>
  <si>
    <t>HARINA</t>
  </si>
  <si>
    <t>Manteca</t>
  </si>
  <si>
    <t>Azucar</t>
  </si>
  <si>
    <t>Polvo Hornear</t>
  </si>
  <si>
    <t>Polvo de Hornear</t>
  </si>
  <si>
    <t>20gr</t>
  </si>
  <si>
    <t>5gr</t>
  </si>
  <si>
    <t>5 gr</t>
  </si>
  <si>
    <t>0,2 gr</t>
  </si>
  <si>
    <t>Empaque de 20 gr</t>
  </si>
  <si>
    <t>COSTO VARIABLE SIN MATERIAL DIRECTO(Harina)</t>
  </si>
  <si>
    <t>.</t>
  </si>
  <si>
    <t>Porcentaje con respecto a la demanda anual (estimado)</t>
  </si>
  <si>
    <t>La politica de la empresa es mantener un inventario final listo para la venta equivalente al 60% de las ventas estimadas para el mes siguiente.</t>
  </si>
  <si>
    <t>CFN</t>
  </si>
  <si>
    <t>Compra de Materia Prima(HARINA)</t>
  </si>
  <si>
    <t>aportacion de los socios</t>
  </si>
  <si>
    <t>VAN (21%)</t>
  </si>
  <si>
    <t>Tasa que se exige de retorno del proyecto es del 21%, dado que la tasa del préstamo bancario es de 11%.</t>
  </si>
  <si>
    <t>Considerando que la tasa de crecimiento de la población  dispuesta a consumir nuestro producto es del 6%, se puede proyectar la demanda para los 10 años siguientes</t>
  </si>
  <si>
    <t>Sueldo de 8 Operarios Mensuales</t>
  </si>
  <si>
    <t xml:space="preserve"> </t>
  </si>
  <si>
    <t>MAYO, CAPITAL DE TRABAJO AUMENTO LA CUAL NUESTRA INVERSION INICAL SERIA MAYOR ASI DE ESTA MANERA PODEMOS CUBRIR NUESTROS GASTOS</t>
  </si>
  <si>
    <t>abril</t>
  </si>
  <si>
    <t>marzo</t>
  </si>
  <si>
    <t>febrero</t>
  </si>
  <si>
    <t>FEBRERO, capital de trabajo disminuyó</t>
  </si>
  <si>
    <t>MAYO,</t>
  </si>
  <si>
    <t>Costo Variable Total de 20 gr. De VAMFED</t>
  </si>
  <si>
    <t>PRECIO UNIT. DE 40 GR.</t>
  </si>
  <si>
    <t>recuperacion de la inversion en el año 5</t>
  </si>
</sst>
</file>

<file path=xl/styles.xml><?xml version="1.0" encoding="utf-8"?>
<styleSheet xmlns="http://schemas.openxmlformats.org/spreadsheetml/2006/main">
  <numFmts count="22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_-[$$-300A]\ * #,##0.00_ ;_-[$$-300A]\ * \-#,##0.00\ ;_-[$$-300A]\ * &quot;-&quot;??_ ;_-@_ "/>
    <numFmt numFmtId="165" formatCode="_-[$$-300A]\ * #,##0_ ;_-[$$-300A]\ * \-#,##0\ ;_-[$$-300A]\ * &quot;-&quot;_ ;_-@_ "/>
    <numFmt numFmtId="166" formatCode="0.000"/>
    <numFmt numFmtId="167" formatCode="_-* #,##0\ _€_-;\-* #,##0\ _€_-;_-* &quot;-&quot;??\ _€_-;_-@_-"/>
    <numFmt numFmtId="168" formatCode="_(* #,##0.00_);_(* \(#,##0.00\);_(* &quot;-&quot;??_);_(@_)"/>
    <numFmt numFmtId="169" formatCode="_(* #,##0_);_(* \(#,##0\);_(* &quot;-&quot;??_);_(@_)"/>
    <numFmt numFmtId="170" formatCode="#,##0.00_ ;\-#,##0.00\ "/>
    <numFmt numFmtId="171" formatCode="#,##0_ ;\-#,##0\ "/>
    <numFmt numFmtId="172" formatCode="[$$-300A]\ #,##0.00"/>
    <numFmt numFmtId="173" formatCode="[$$-300A]\ #,##0"/>
    <numFmt numFmtId="174" formatCode="0.0%"/>
    <numFmt numFmtId="175" formatCode="_-[$$-300A]\ * #,##0.000_ ;_-[$$-300A]\ * \-#,##0.000\ ;_-[$$-300A]\ * &quot;-&quot;??_ ;_-@_ "/>
    <numFmt numFmtId="176" formatCode="_-[$$-300A]\ * #,##0.00_ ;_-[$$-300A]\ * \-#,##0.00\ ;_-[$$-300A]\ * &quot;-&quot;???_ ;_-@_ "/>
    <numFmt numFmtId="177" formatCode="0.0"/>
    <numFmt numFmtId="178" formatCode="&quot;$&quot;\ #,##0.00_);[Red]\(&quot;$&quot;\ #,##0.00\)"/>
    <numFmt numFmtId="179" formatCode="0.000%"/>
    <numFmt numFmtId="180" formatCode="0.0000"/>
    <numFmt numFmtId="181" formatCode="_-[$$-300A]\ * #,##0.0000_ ;_-[$$-300A]\ * \-#,##0.0000\ ;_-[$$-300A]\ * &quot;-&quot;???_ ;_-@_ "/>
    <numFmt numFmtId="182" formatCode="_-[$$-300A]\ * #,##0.00000_ ;_-[$$-300A]\ * \-#,##0.00000\ ;_-[$$-300A]\ * &quot;-&quot;??_ ;_-@_ "/>
    <numFmt numFmtId="183" formatCode="[$$-300A]\ #,##0.00_ ;\-[$$-300A]\ #,##0.00\ "/>
  </numFmts>
  <fonts count="33">
    <font>
      <sz val="11"/>
      <color theme="1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9" tint="0.79998168889431442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2"/>
      <color theme="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0"/>
      <name val="Arial"/>
      <family val="2"/>
    </font>
    <font>
      <b/>
      <sz val="12"/>
      <color theme="7" tint="-0.499984740745262"/>
      <name val="Arial"/>
      <family val="2"/>
    </font>
    <font>
      <sz val="12"/>
      <name val="Calibri"/>
      <family val="2"/>
      <scheme val="minor"/>
    </font>
    <font>
      <b/>
      <u/>
      <sz val="12"/>
      <color theme="8" tint="-0.499984740745262"/>
      <name val="Calibri"/>
      <family val="2"/>
      <scheme val="minor"/>
    </font>
    <font>
      <u/>
      <sz val="12"/>
      <color theme="8" tint="-0.499984740745262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7" tint="-0.499984740745262"/>
      <name val="Calibri"/>
      <family val="2"/>
      <scheme val="minor"/>
    </font>
    <font>
      <sz val="14"/>
      <name val="Arial"/>
      <family val="2"/>
    </font>
    <font>
      <b/>
      <u/>
      <sz val="14"/>
      <name val="Arial"/>
      <family val="2"/>
    </font>
    <font>
      <sz val="14"/>
      <color theme="1"/>
      <name val="Arial"/>
      <family val="2"/>
    </font>
    <font>
      <b/>
      <sz val="14"/>
      <name val="Arial"/>
      <family val="2"/>
    </font>
    <font>
      <b/>
      <sz val="14"/>
      <color theme="7" tint="-0.499984740745262"/>
      <name val="Arial"/>
      <family val="2"/>
    </font>
    <font>
      <b/>
      <sz val="14"/>
      <color theme="1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7">
    <xf numFmtId="0" fontId="0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8" fontId="9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</cellStyleXfs>
  <cellXfs count="453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164" fontId="0" fillId="0" borderId="1" xfId="0" applyNumberFormat="1" applyBorder="1"/>
    <xf numFmtId="0" fontId="0" fillId="0" borderId="1" xfId="0" applyFill="1" applyBorder="1"/>
    <xf numFmtId="164" fontId="0" fillId="0" borderId="1" xfId="0" applyNumberFormat="1" applyFill="1" applyBorder="1"/>
    <xf numFmtId="0" fontId="0" fillId="4" borderId="1" xfId="0" applyFill="1" applyBorder="1"/>
    <xf numFmtId="9" fontId="0" fillId="0" borderId="1" xfId="0" applyNumberFormat="1" applyBorder="1"/>
    <xf numFmtId="0" fontId="0" fillId="0" borderId="3" xfId="0" applyBorder="1"/>
    <xf numFmtId="0" fontId="0" fillId="0" borderId="11" xfId="0" applyBorder="1"/>
    <xf numFmtId="0" fontId="0" fillId="6" borderId="1" xfId="0" applyFill="1" applyBorder="1"/>
    <xf numFmtId="0" fontId="5" fillId="3" borderId="1" xfId="0" applyFont="1" applyFill="1" applyBorder="1"/>
    <xf numFmtId="0" fontId="0" fillId="0" borderId="0" xfId="0" applyBorder="1"/>
    <xf numFmtId="0" fontId="7" fillId="7" borderId="1" xfId="0" applyFont="1" applyFill="1" applyBorder="1"/>
    <xf numFmtId="0" fontId="5" fillId="4" borderId="1" xfId="0" applyFont="1" applyFill="1" applyBorder="1" applyAlignment="1">
      <alignment horizontal="center"/>
    </xf>
    <xf numFmtId="43" fontId="0" fillId="0" borderId="0" xfId="1" applyFont="1"/>
    <xf numFmtId="2" fontId="0" fillId="0" borderId="0" xfId="0" applyNumberFormat="1"/>
    <xf numFmtId="0" fontId="0" fillId="0" borderId="0" xfId="0" applyFill="1" applyBorder="1"/>
    <xf numFmtId="166" fontId="0" fillId="6" borderId="1" xfId="0" applyNumberFormat="1" applyFill="1" applyBorder="1"/>
    <xf numFmtId="9" fontId="0" fillId="4" borderId="1" xfId="0" applyNumberFormat="1" applyFill="1" applyBorder="1"/>
    <xf numFmtId="0" fontId="7" fillId="7" borderId="1" xfId="0" applyFont="1" applyFill="1" applyBorder="1" applyAlignment="1">
      <alignment horizontal="center" wrapText="1"/>
    </xf>
    <xf numFmtId="2" fontId="0" fillId="4" borderId="1" xfId="0" applyNumberFormat="1" applyFill="1" applyBorder="1"/>
    <xf numFmtId="167" fontId="5" fillId="4" borderId="1" xfId="1" applyNumberFormat="1" applyFont="1" applyFill="1" applyBorder="1"/>
    <xf numFmtId="164" fontId="0" fillId="0" borderId="0" xfId="0" applyNumberFormat="1"/>
    <xf numFmtId="0" fontId="0" fillId="6" borderId="1" xfId="0" applyFill="1" applyBorder="1" applyAlignment="1">
      <alignment horizontal="right" wrapText="1"/>
    </xf>
    <xf numFmtId="0" fontId="0" fillId="6" borderId="1" xfId="0" applyFill="1" applyBorder="1" applyAlignment="1">
      <alignment horizontal="right"/>
    </xf>
    <xf numFmtId="0" fontId="0" fillId="0" borderId="0" xfId="0" applyAlignment="1">
      <alignment horizontal="right"/>
    </xf>
    <xf numFmtId="0" fontId="0" fillId="0" borderId="2" xfId="0" applyBorder="1"/>
    <xf numFmtId="1" fontId="0" fillId="0" borderId="1" xfId="0" applyNumberFormat="1" applyBorder="1"/>
    <xf numFmtId="1" fontId="0" fillId="6" borderId="1" xfId="0" applyNumberFormat="1" applyFill="1" applyBorder="1"/>
    <xf numFmtId="9" fontId="0" fillId="0" borderId="0" xfId="0" applyNumberFormat="1"/>
    <xf numFmtId="0" fontId="0" fillId="0" borderId="0" xfId="0"/>
    <xf numFmtId="0" fontId="0" fillId="2" borderId="1" xfId="0" applyFill="1" applyBorder="1" applyAlignment="1">
      <alignment horizontal="center"/>
    </xf>
    <xf numFmtId="169" fontId="4" fillId="0" borderId="0" xfId="3" applyNumberFormat="1" applyFont="1"/>
    <xf numFmtId="169" fontId="0" fillId="0" borderId="1" xfId="0" applyNumberFormat="1" applyBorder="1" applyAlignment="1">
      <alignment horizontal="right"/>
    </xf>
    <xf numFmtId="167" fontId="0" fillId="0" borderId="1" xfId="0" applyNumberFormat="1" applyBorder="1" applyAlignment="1">
      <alignment horizontal="center"/>
    </xf>
    <xf numFmtId="169" fontId="0" fillId="0" borderId="0" xfId="0" applyNumberFormat="1"/>
    <xf numFmtId="2" fontId="0" fillId="0" borderId="0" xfId="0" applyNumberFormat="1" applyAlignment="1">
      <alignment horizontal="right"/>
    </xf>
    <xf numFmtId="164" fontId="0" fillId="0" borderId="0" xfId="0" applyNumberFormat="1" applyAlignment="1">
      <alignment horizontal="right"/>
    </xf>
    <xf numFmtId="170" fontId="0" fillId="0" borderId="0" xfId="0" applyNumberFormat="1" applyAlignment="1">
      <alignment horizontal="right"/>
    </xf>
    <xf numFmtId="2" fontId="0" fillId="0" borderId="0" xfId="2" applyNumberFormat="1" applyFont="1" applyAlignment="1">
      <alignment horizontal="right"/>
    </xf>
    <xf numFmtId="164" fontId="5" fillId="0" borderId="0" xfId="0" applyNumberFormat="1" applyFont="1" applyFill="1"/>
    <xf numFmtId="0" fontId="5" fillId="4" borderId="1" xfId="0" applyFont="1" applyFill="1" applyBorder="1"/>
    <xf numFmtId="1" fontId="0" fillId="6" borderId="1" xfId="0" applyNumberFormat="1" applyFill="1" applyBorder="1" applyAlignment="1">
      <alignment horizontal="right"/>
    </xf>
    <xf numFmtId="1" fontId="0" fillId="0" borderId="0" xfId="0" applyNumberFormat="1"/>
    <xf numFmtId="173" fontId="0" fillId="0" borderId="1" xfId="0" applyNumberFormat="1" applyBorder="1"/>
    <xf numFmtId="0" fontId="0" fillId="0" borderId="0" xfId="0" applyAlignment="1"/>
    <xf numFmtId="172" fontId="0" fillId="0" borderId="1" xfId="0" applyNumberFormat="1" applyBorder="1"/>
    <xf numFmtId="0" fontId="13" fillId="0" borderId="0" xfId="0" applyFont="1" applyFill="1" applyBorder="1"/>
    <xf numFmtId="0" fontId="0" fillId="4" borderId="12" xfId="0" applyFill="1" applyBorder="1"/>
    <xf numFmtId="0" fontId="10" fillId="0" borderId="0" xfId="0" applyFont="1" applyBorder="1"/>
    <xf numFmtId="164" fontId="10" fillId="0" borderId="0" xfId="0" applyNumberFormat="1" applyFont="1" applyBorder="1"/>
    <xf numFmtId="9" fontId="10" fillId="0" borderId="0" xfId="0" applyNumberFormat="1" applyFont="1" applyBorder="1"/>
    <xf numFmtId="164" fontId="10" fillId="0" borderId="0" xfId="1" applyNumberFormat="1" applyFont="1" applyBorder="1"/>
    <xf numFmtId="2" fontId="5" fillId="3" borderId="1" xfId="0" applyNumberFormat="1" applyFont="1" applyFill="1" applyBorder="1"/>
    <xf numFmtId="2" fontId="0" fillId="6" borderId="1" xfId="0" applyNumberFormat="1" applyFill="1" applyBorder="1"/>
    <xf numFmtId="43" fontId="5" fillId="3" borderId="1" xfId="1" applyFont="1" applyFill="1" applyBorder="1"/>
    <xf numFmtId="0" fontId="10" fillId="0" borderId="1" xfId="0" applyFont="1" applyBorder="1"/>
    <xf numFmtId="164" fontId="10" fillId="0" borderId="1" xfId="0" applyNumberFormat="1" applyFont="1" applyBorder="1"/>
    <xf numFmtId="9" fontId="10" fillId="0" borderId="1" xfId="0" applyNumberFormat="1" applyFont="1" applyBorder="1"/>
    <xf numFmtId="0" fontId="5" fillId="3" borderId="1" xfId="0" applyFont="1" applyFill="1" applyBorder="1" applyAlignment="1">
      <alignment horizontal="center"/>
    </xf>
    <xf numFmtId="43" fontId="0" fillId="4" borderId="1" xfId="0" applyNumberFormat="1" applyFill="1" applyBorder="1"/>
    <xf numFmtId="0" fontId="5" fillId="0" borderId="1" xfId="0" applyFont="1" applyBorder="1"/>
    <xf numFmtId="179" fontId="16" fillId="9" borderId="0" xfId="6" applyNumberFormat="1" applyFont="1" applyFill="1" applyBorder="1" applyAlignment="1">
      <alignment horizontal="center"/>
    </xf>
    <xf numFmtId="9" fontId="16" fillId="9" borderId="0" xfId="6" applyNumberFormat="1" applyFont="1" applyFill="1" applyBorder="1" applyAlignment="1">
      <alignment horizontal="center"/>
    </xf>
    <xf numFmtId="10" fontId="16" fillId="9" borderId="0" xfId="6" applyNumberFormat="1" applyFont="1" applyFill="1" applyBorder="1" applyAlignment="1">
      <alignment horizontal="center"/>
    </xf>
    <xf numFmtId="9" fontId="16" fillId="9" borderId="0" xfId="6" applyFont="1" applyFill="1" applyBorder="1" applyAlignment="1">
      <alignment horizontal="center"/>
    </xf>
    <xf numFmtId="164" fontId="0" fillId="0" borderId="0" xfId="0" applyNumberFormat="1" applyFont="1" applyFill="1" applyAlignment="1">
      <alignment horizontal="right"/>
    </xf>
    <xf numFmtId="164" fontId="0" fillId="0" borderId="1" xfId="0" applyNumberFormat="1" applyFont="1" applyFill="1" applyBorder="1"/>
    <xf numFmtId="9" fontId="10" fillId="0" borderId="0" xfId="4" applyFont="1" applyBorder="1"/>
    <xf numFmtId="167" fontId="0" fillId="0" borderId="0" xfId="1" applyNumberFormat="1" applyFont="1" applyAlignment="1">
      <alignment horizontal="right"/>
    </xf>
    <xf numFmtId="164" fontId="0" fillId="0" borderId="1" xfId="0" applyNumberFormat="1" applyBorder="1" applyAlignment="1">
      <alignment horizontal="right"/>
    </xf>
    <xf numFmtId="0" fontId="5" fillId="0" borderId="1" xfId="0" applyFont="1" applyBorder="1" applyAlignment="1">
      <alignment horizontal="left"/>
    </xf>
    <xf numFmtId="9" fontId="19" fillId="0" borderId="7" xfId="0" applyNumberFormat="1" applyFont="1" applyBorder="1"/>
    <xf numFmtId="0" fontId="19" fillId="0" borderId="0" xfId="0" applyFont="1" applyAlignment="1">
      <alignment horizontal="right"/>
    </xf>
    <xf numFmtId="0" fontId="19" fillId="0" borderId="3" xfId="0" applyFont="1" applyBorder="1" applyAlignment="1">
      <alignment horizontal="right"/>
    </xf>
    <xf numFmtId="0" fontId="18" fillId="0" borderId="1" xfId="0" applyFont="1" applyBorder="1"/>
    <xf numFmtId="0" fontId="18" fillId="0" borderId="1" xfId="0" applyFont="1" applyBorder="1" applyAlignment="1">
      <alignment horizontal="right"/>
    </xf>
    <xf numFmtId="0" fontId="19" fillId="0" borderId="1" xfId="0" applyFont="1" applyBorder="1"/>
    <xf numFmtId="0" fontId="19" fillId="0" borderId="1" xfId="0" applyFont="1" applyBorder="1" applyAlignment="1">
      <alignment horizontal="right"/>
    </xf>
    <xf numFmtId="2" fontId="19" fillId="0" borderId="1" xfId="0" applyNumberFormat="1" applyFont="1" applyBorder="1" applyAlignment="1">
      <alignment horizontal="right"/>
    </xf>
    <xf numFmtId="177" fontId="19" fillId="0" borderId="1" xfId="0" applyNumberFormat="1" applyFont="1" applyBorder="1" applyAlignment="1">
      <alignment horizontal="right"/>
    </xf>
    <xf numFmtId="164" fontId="19" fillId="0" borderId="1" xfId="0" applyNumberFormat="1" applyFont="1" applyBorder="1" applyAlignment="1">
      <alignment horizontal="right"/>
    </xf>
    <xf numFmtId="1" fontId="19" fillId="0" borderId="1" xfId="1" applyNumberFormat="1" applyFont="1" applyBorder="1" applyAlignment="1">
      <alignment horizontal="right"/>
    </xf>
    <xf numFmtId="171" fontId="19" fillId="0" borderId="1" xfId="0" applyNumberFormat="1" applyFont="1" applyBorder="1"/>
    <xf numFmtId="171" fontId="19" fillId="0" borderId="1" xfId="0" applyNumberFormat="1" applyFont="1" applyBorder="1" applyAlignment="1">
      <alignment horizontal="right"/>
    </xf>
    <xf numFmtId="0" fontId="19" fillId="0" borderId="1" xfId="0" applyFont="1" applyFill="1" applyBorder="1"/>
    <xf numFmtId="164" fontId="19" fillId="0" borderId="1" xfId="0" applyNumberFormat="1" applyFont="1" applyBorder="1"/>
    <xf numFmtId="164" fontId="19" fillId="0" borderId="1" xfId="0" applyNumberFormat="1" applyFont="1" applyFill="1" applyBorder="1"/>
    <xf numFmtId="0" fontId="5" fillId="11" borderId="1" xfId="0" applyFont="1" applyFill="1" applyBorder="1" applyAlignment="1">
      <alignment horizontal="center"/>
    </xf>
    <xf numFmtId="173" fontId="0" fillId="6" borderId="1" xfId="0" applyNumberFormat="1" applyFill="1" applyBorder="1" applyAlignment="1">
      <alignment horizontal="center"/>
    </xf>
    <xf numFmtId="0" fontId="0" fillId="3" borderId="1" xfId="0" applyFill="1" applyBorder="1"/>
    <xf numFmtId="10" fontId="0" fillId="4" borderId="1" xfId="0" applyNumberFormat="1" applyFill="1" applyBorder="1"/>
    <xf numFmtId="173" fontId="0" fillId="4" borderId="1" xfId="0" applyNumberFormat="1" applyFill="1" applyBorder="1"/>
    <xf numFmtId="172" fontId="5" fillId="6" borderId="1" xfId="0" applyNumberFormat="1" applyFont="1" applyFill="1" applyBorder="1"/>
    <xf numFmtId="173" fontId="5" fillId="6" borderId="1" xfId="0" applyNumberFormat="1" applyFont="1" applyFill="1" applyBorder="1"/>
    <xf numFmtId="0" fontId="0" fillId="0" borderId="4" xfId="0" applyBorder="1"/>
    <xf numFmtId="0" fontId="0" fillId="6" borderId="4" xfId="0" applyFill="1" applyBorder="1"/>
    <xf numFmtId="167" fontId="10" fillId="0" borderId="1" xfId="1" applyNumberFormat="1" applyFont="1" applyBorder="1" applyAlignment="1">
      <alignment horizontal="right"/>
    </xf>
    <xf numFmtId="164" fontId="10" fillId="0" borderId="1" xfId="2" applyNumberFormat="1" applyFont="1" applyBorder="1"/>
    <xf numFmtId="175" fontId="10" fillId="0" borderId="1" xfId="0" applyNumberFormat="1" applyFont="1" applyBorder="1"/>
    <xf numFmtId="167" fontId="10" fillId="0" borderId="1" xfId="0" applyNumberFormat="1" applyFont="1" applyBorder="1" applyAlignment="1">
      <alignment horizontal="right"/>
    </xf>
    <xf numFmtId="167" fontId="10" fillId="0" borderId="1" xfId="0" applyNumberFormat="1" applyFont="1" applyBorder="1"/>
    <xf numFmtId="174" fontId="10" fillId="0" borderId="1" xfId="0" applyNumberFormat="1" applyFont="1" applyBorder="1"/>
    <xf numFmtId="0" fontId="14" fillId="0" borderId="1" xfId="0" applyFont="1" applyFill="1" applyBorder="1"/>
    <xf numFmtId="0" fontId="13" fillId="0" borderId="1" xfId="0" applyFont="1" applyFill="1" applyBorder="1" applyAlignment="1">
      <alignment wrapText="1"/>
    </xf>
    <xf numFmtId="172" fontId="12" fillId="0" borderId="1" xfId="0" applyNumberFormat="1" applyFont="1" applyBorder="1"/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 applyAlignment="1">
      <alignment horizontal="left" wrapText="1"/>
    </xf>
    <xf numFmtId="172" fontId="10" fillId="0" borderId="1" xfId="0" applyNumberFormat="1" applyFont="1" applyBorder="1"/>
    <xf numFmtId="164" fontId="14" fillId="0" borderId="1" xfId="0" applyNumberFormat="1" applyFont="1" applyBorder="1"/>
    <xf numFmtId="0" fontId="13" fillId="2" borderId="1" xfId="0" applyFont="1" applyFill="1" applyBorder="1"/>
    <xf numFmtId="164" fontId="10" fillId="2" borderId="1" xfId="1" applyNumberFormat="1" applyFont="1" applyFill="1" applyBorder="1"/>
    <xf numFmtId="164" fontId="10" fillId="2" borderId="1" xfId="0" applyNumberFormat="1" applyFont="1" applyFill="1" applyBorder="1"/>
    <xf numFmtId="9" fontId="10" fillId="2" borderId="1" xfId="0" applyNumberFormat="1" applyFont="1" applyFill="1" applyBorder="1"/>
    <xf numFmtId="10" fontId="10" fillId="2" borderId="1" xfId="0" applyNumberFormat="1" applyFont="1" applyFill="1" applyBorder="1"/>
    <xf numFmtId="0" fontId="11" fillId="5" borderId="1" xfId="0" applyFont="1" applyFill="1" applyBorder="1"/>
    <xf numFmtId="0" fontId="13" fillId="5" borderId="1" xfId="0" applyFont="1" applyFill="1" applyBorder="1"/>
    <xf numFmtId="0" fontId="13" fillId="5" borderId="1" xfId="0" applyFont="1" applyFill="1" applyBorder="1" applyAlignment="1">
      <alignment wrapText="1"/>
    </xf>
    <xf numFmtId="0" fontId="20" fillId="12" borderId="1" xfId="0" applyFont="1" applyFill="1" applyBorder="1"/>
    <xf numFmtId="0" fontId="20" fillId="1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18" fillId="0" borderId="4" xfId="0" applyFont="1" applyBorder="1" applyAlignment="1"/>
    <xf numFmtId="0" fontId="0" fillId="0" borderId="7" xfId="0" applyBorder="1" applyAlignment="1">
      <alignment horizontal="left" wrapText="1"/>
    </xf>
    <xf numFmtId="0" fontId="5" fillId="0" borderId="1" xfId="0" applyFont="1" applyFill="1" applyBorder="1"/>
    <xf numFmtId="173" fontId="0" fillId="0" borderId="0" xfId="0" applyNumberFormat="1"/>
    <xf numFmtId="0" fontId="5" fillId="3" borderId="1" xfId="0" applyFont="1" applyFill="1" applyBorder="1" applyAlignment="1">
      <alignment horizontal="left"/>
    </xf>
    <xf numFmtId="165" fontId="0" fillId="0" borderId="0" xfId="0" applyNumberFormat="1"/>
    <xf numFmtId="0" fontId="0" fillId="2" borderId="1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" fontId="0" fillId="4" borderId="1" xfId="4" applyNumberFormat="1" applyFont="1" applyFill="1" applyBorder="1"/>
    <xf numFmtId="172" fontId="5" fillId="3" borderId="1" xfId="0" applyNumberFormat="1" applyFont="1" applyFill="1" applyBorder="1"/>
    <xf numFmtId="173" fontId="5" fillId="3" borderId="1" xfId="0" applyNumberFormat="1" applyFont="1" applyFill="1" applyBorder="1"/>
    <xf numFmtId="9" fontId="0" fillId="6" borderId="1" xfId="0" applyNumberFormat="1" applyFill="1" applyBorder="1"/>
    <xf numFmtId="164" fontId="0" fillId="6" borderId="1" xfId="0" applyNumberFormat="1" applyFill="1" applyBorder="1"/>
    <xf numFmtId="0" fontId="2" fillId="6" borderId="1" xfId="0" applyFont="1" applyFill="1" applyBorder="1"/>
    <xf numFmtId="164" fontId="2" fillId="6" borderId="1" xfId="0" applyNumberFormat="1" applyFont="1" applyFill="1" applyBorder="1"/>
    <xf numFmtId="0" fontId="0" fillId="6" borderId="1" xfId="0" applyFont="1" applyFill="1" applyBorder="1"/>
    <xf numFmtId="164" fontId="0" fillId="6" borderId="1" xfId="0" applyNumberFormat="1" applyFont="1" applyFill="1" applyBorder="1"/>
    <xf numFmtId="1" fontId="0" fillId="0" borderId="1" xfId="0" applyNumberFormat="1" applyFill="1" applyBorder="1" applyAlignment="1">
      <alignment horizontal="center"/>
    </xf>
    <xf numFmtId="0" fontId="0" fillId="0" borderId="7" xfId="0" applyBorder="1" applyAlignment="1">
      <alignment horizontal="left" vertical="center"/>
    </xf>
    <xf numFmtId="0" fontId="0" fillId="0" borderId="1" xfId="0" applyBorder="1" applyAlignment="1">
      <alignment horizontal="center"/>
    </xf>
    <xf numFmtId="0" fontId="0" fillId="0" borderId="7" xfId="0" applyBorder="1" applyAlignment="1">
      <alignment horizontal="right" vertical="center"/>
    </xf>
    <xf numFmtId="43" fontId="0" fillId="0" borderId="0" xfId="0" applyNumberFormat="1"/>
    <xf numFmtId="2" fontId="0" fillId="0" borderId="1" xfId="0" applyNumberFormat="1" applyBorder="1" applyAlignment="1">
      <alignment horizontal="right"/>
    </xf>
    <xf numFmtId="43" fontId="0" fillId="0" borderId="1" xfId="0" applyNumberFormat="1" applyBorder="1" applyAlignment="1">
      <alignment horizontal="right"/>
    </xf>
    <xf numFmtId="0" fontId="0" fillId="0" borderId="12" xfId="0" applyFill="1" applyBorder="1"/>
    <xf numFmtId="181" fontId="0" fillId="6" borderId="1" xfId="0" applyNumberFormat="1" applyFill="1" applyBorder="1"/>
    <xf numFmtId="177" fontId="0" fillId="0" borderId="1" xfId="0" applyNumberFormat="1" applyBorder="1"/>
    <xf numFmtId="175" fontId="0" fillId="6" borderId="1" xfId="0" applyNumberFormat="1" applyFill="1" applyBorder="1"/>
    <xf numFmtId="180" fontId="0" fillId="6" borderId="1" xfId="0" applyNumberFormat="1" applyFill="1" applyBorder="1"/>
    <xf numFmtId="176" fontId="0" fillId="0" borderId="1" xfId="0" applyNumberFormat="1" applyFill="1" applyBorder="1"/>
    <xf numFmtId="0" fontId="0" fillId="3" borderId="2" xfId="0" applyFill="1" applyBorder="1"/>
    <xf numFmtId="0" fontId="7" fillId="0" borderId="1" xfId="0" applyFont="1" applyFill="1" applyBorder="1" applyAlignment="1"/>
    <xf numFmtId="43" fontId="0" fillId="0" borderId="0" xfId="1" applyFont="1" applyAlignment="1">
      <alignment horizontal="right"/>
    </xf>
    <xf numFmtId="164" fontId="19" fillId="0" borderId="5" xfId="0" applyNumberFormat="1" applyFont="1" applyBorder="1" applyAlignment="1">
      <alignment horizontal="right"/>
    </xf>
    <xf numFmtId="164" fontId="0" fillId="14" borderId="1" xfId="0" applyNumberFormat="1" applyFill="1" applyBorder="1" applyAlignment="1">
      <alignment horizontal="right"/>
    </xf>
    <xf numFmtId="1" fontId="0" fillId="14" borderId="1" xfId="0" applyNumberFormat="1" applyFill="1" applyBorder="1" applyAlignment="1">
      <alignment horizontal="center"/>
    </xf>
    <xf numFmtId="0" fontId="0" fillId="14" borderId="1" xfId="0" applyFill="1" applyBorder="1" applyAlignment="1">
      <alignment horizontal="center"/>
    </xf>
    <xf numFmtId="164" fontId="0" fillId="0" borderId="1" xfId="0" applyNumberFormat="1" applyFont="1" applyFill="1" applyBorder="1" applyAlignment="1">
      <alignment horizontal="right"/>
    </xf>
    <xf numFmtId="182" fontId="0" fillId="0" borderId="2" xfId="0" applyNumberFormat="1" applyBorder="1"/>
    <xf numFmtId="182" fontId="0" fillId="0" borderId="0" xfId="0" applyNumberFormat="1"/>
    <xf numFmtId="175" fontId="17" fillId="0" borderId="0" xfId="0" applyNumberFormat="1" applyFont="1" applyBorder="1"/>
    <xf numFmtId="9" fontId="12" fillId="0" borderId="0" xfId="4" applyFont="1" applyBorder="1"/>
    <xf numFmtId="175" fontId="12" fillId="0" borderId="0" xfId="0" applyNumberFormat="1" applyFont="1" applyBorder="1"/>
    <xf numFmtId="9" fontId="21" fillId="0" borderId="0" xfId="4" applyFont="1" applyBorder="1"/>
    <xf numFmtId="9" fontId="0" fillId="0" borderId="0" xfId="4" applyFont="1"/>
    <xf numFmtId="0" fontId="22" fillId="9" borderId="0" xfId="5" applyFont="1" applyFill="1"/>
    <xf numFmtId="0" fontId="22" fillId="0" borderId="0" xfId="5" applyFont="1" applyFill="1" applyBorder="1"/>
    <xf numFmtId="10" fontId="22" fillId="9" borderId="0" xfId="5" applyNumberFormat="1" applyFont="1" applyFill="1" applyBorder="1"/>
    <xf numFmtId="178" fontId="22" fillId="9" borderId="0" xfId="5" applyNumberFormat="1" applyFont="1" applyFill="1" applyBorder="1"/>
    <xf numFmtId="0" fontId="22" fillId="9" borderId="0" xfId="5" applyFont="1" applyFill="1" applyBorder="1"/>
    <xf numFmtId="0" fontId="22" fillId="9" borderId="27" xfId="5" applyFont="1" applyFill="1" applyBorder="1"/>
    <xf numFmtId="0" fontId="22" fillId="9" borderId="28" xfId="5" applyFont="1" applyFill="1" applyBorder="1"/>
    <xf numFmtId="0" fontId="25" fillId="0" borderId="0" xfId="5" applyFont="1" applyFill="1" applyBorder="1" applyAlignment="1">
      <alignment horizontal="center"/>
    </xf>
    <xf numFmtId="9" fontId="22" fillId="0" borderId="0" xfId="5" applyNumberFormat="1" applyFont="1" applyFill="1" applyBorder="1" applyAlignment="1">
      <alignment horizontal="center"/>
    </xf>
    <xf numFmtId="2" fontId="22" fillId="0" borderId="0" xfId="4" applyNumberFormat="1" applyFont="1" applyFill="1" applyBorder="1" applyAlignment="1">
      <alignment horizontal="center"/>
    </xf>
    <xf numFmtId="0" fontId="22" fillId="9" borderId="22" xfId="5" applyFont="1" applyFill="1" applyBorder="1"/>
    <xf numFmtId="9" fontId="16" fillId="0" borderId="1" xfId="4" applyFont="1" applyBorder="1"/>
    <xf numFmtId="164" fontId="16" fillId="0" borderId="1" xfId="0" applyNumberFormat="1" applyFont="1" applyFill="1" applyBorder="1"/>
    <xf numFmtId="10" fontId="16" fillId="0" borderId="1" xfId="0" applyNumberFormat="1" applyFont="1" applyFill="1" applyBorder="1" applyAlignment="1">
      <alignment horizontal="center"/>
    </xf>
    <xf numFmtId="164" fontId="22" fillId="9" borderId="1" xfId="5" applyNumberFormat="1" applyFont="1" applyFill="1" applyBorder="1"/>
    <xf numFmtId="10" fontId="22" fillId="9" borderId="1" xfId="4" applyNumberFormat="1" applyFont="1" applyFill="1" applyBorder="1" applyAlignment="1">
      <alignment horizontal="center"/>
    </xf>
    <xf numFmtId="164" fontId="16" fillId="0" borderId="1" xfId="0" applyNumberFormat="1" applyFont="1" applyBorder="1"/>
    <xf numFmtId="10" fontId="16" fillId="9" borderId="1" xfId="4" applyNumberFormat="1" applyFont="1" applyFill="1" applyBorder="1" applyAlignment="1">
      <alignment horizontal="center"/>
    </xf>
    <xf numFmtId="2" fontId="25" fillId="0" borderId="0" xfId="4" applyNumberFormat="1" applyFont="1" applyFill="1" applyBorder="1" applyAlignment="1">
      <alignment horizontal="center"/>
    </xf>
    <xf numFmtId="3" fontId="22" fillId="9" borderId="0" xfId="5" applyNumberFormat="1" applyFont="1" applyFill="1" applyBorder="1" applyAlignment="1">
      <alignment horizontal="center"/>
    </xf>
    <xf numFmtId="0" fontId="22" fillId="9" borderId="0" xfId="5" applyFont="1" applyFill="1" applyBorder="1" applyAlignment="1">
      <alignment horizontal="center"/>
    </xf>
    <xf numFmtId="9" fontId="26" fillId="0" borderId="1" xfId="4" applyFont="1" applyBorder="1"/>
    <xf numFmtId="164" fontId="25" fillId="9" borderId="0" xfId="5" applyNumberFormat="1" applyFont="1" applyFill="1"/>
    <xf numFmtId="10" fontId="25" fillId="9" borderId="0" xfId="4" applyNumberFormat="1" applyFont="1" applyFill="1" applyAlignment="1">
      <alignment horizontal="center"/>
    </xf>
    <xf numFmtId="166" fontId="22" fillId="0" borderId="0" xfId="5" applyNumberFormat="1" applyFont="1" applyFill="1" applyBorder="1" applyAlignment="1">
      <alignment horizontal="center"/>
    </xf>
    <xf numFmtId="0" fontId="22" fillId="9" borderId="32" xfId="5" applyFont="1" applyFill="1" applyBorder="1"/>
    <xf numFmtId="164" fontId="22" fillId="9" borderId="3" xfId="5" applyNumberFormat="1" applyFont="1" applyFill="1" applyBorder="1"/>
    <xf numFmtId="175" fontId="16" fillId="0" borderId="0" xfId="0" applyNumberFormat="1" applyFont="1" applyFill="1" applyBorder="1"/>
    <xf numFmtId="10" fontId="22" fillId="0" borderId="0" xfId="4" applyNumberFormat="1" applyFont="1" applyFill="1" applyBorder="1" applyAlignment="1">
      <alignment horizontal="center"/>
    </xf>
    <xf numFmtId="0" fontId="22" fillId="9" borderId="33" xfId="5" applyFont="1" applyFill="1" applyBorder="1"/>
    <xf numFmtId="9" fontId="16" fillId="0" borderId="25" xfId="4" applyFont="1" applyBorder="1"/>
    <xf numFmtId="164" fontId="22" fillId="9" borderId="30" xfId="5" applyNumberFormat="1" applyFont="1" applyFill="1" applyBorder="1"/>
    <xf numFmtId="10" fontId="22" fillId="9" borderId="25" xfId="4" applyNumberFormat="1" applyFont="1" applyFill="1" applyBorder="1" applyAlignment="1">
      <alignment horizontal="center"/>
    </xf>
    <xf numFmtId="164" fontId="16" fillId="0" borderId="0" xfId="0" applyNumberFormat="1" applyFont="1" applyBorder="1"/>
    <xf numFmtId="9" fontId="22" fillId="9" borderId="1" xfId="5" applyNumberFormat="1" applyFont="1" applyFill="1" applyBorder="1" applyAlignment="1">
      <alignment horizontal="center"/>
    </xf>
    <xf numFmtId="164" fontId="22" fillId="9" borderId="2" xfId="1" applyNumberFormat="1" applyFont="1" applyFill="1" applyBorder="1" applyAlignment="1">
      <alignment horizontal="center"/>
    </xf>
    <xf numFmtId="0" fontId="25" fillId="9" borderId="0" xfId="5" applyFont="1" applyFill="1" applyBorder="1" applyAlignment="1">
      <alignment horizontal="center"/>
    </xf>
    <xf numFmtId="0" fontId="25" fillId="9" borderId="1" xfId="5" applyFont="1" applyFill="1" applyBorder="1" applyAlignment="1">
      <alignment horizontal="center"/>
    </xf>
    <xf numFmtId="164" fontId="25" fillId="9" borderId="1" xfId="5" applyNumberFormat="1" applyFont="1" applyFill="1" applyBorder="1"/>
    <xf numFmtId="10" fontId="25" fillId="9" borderId="1" xfId="4" applyNumberFormat="1" applyFont="1" applyFill="1" applyBorder="1" applyAlignment="1">
      <alignment horizontal="center"/>
    </xf>
    <xf numFmtId="9" fontId="22" fillId="9" borderId="0" xfId="5" applyNumberFormat="1" applyFont="1" applyFill="1" applyBorder="1" applyAlignment="1">
      <alignment horizontal="center"/>
    </xf>
    <xf numFmtId="4" fontId="22" fillId="9" borderId="0" xfId="5" applyNumberFormat="1" applyFont="1" applyFill="1" applyBorder="1"/>
    <xf numFmtId="0" fontId="25" fillId="0" borderId="22" xfId="5" applyFont="1" applyFill="1" applyBorder="1"/>
    <xf numFmtId="164" fontId="22" fillId="9" borderId="1" xfId="1" applyNumberFormat="1" applyFont="1" applyFill="1" applyBorder="1" applyAlignment="1">
      <alignment horizontal="center"/>
    </xf>
    <xf numFmtId="0" fontId="22" fillId="9" borderId="24" xfId="5" applyFont="1" applyFill="1" applyBorder="1"/>
    <xf numFmtId="9" fontId="22" fillId="9" borderId="25" xfId="5" applyNumberFormat="1" applyFont="1" applyFill="1" applyBorder="1" applyAlignment="1">
      <alignment horizontal="center"/>
    </xf>
    <xf numFmtId="0" fontId="25" fillId="9" borderId="0" xfId="5" applyFont="1" applyFill="1" applyBorder="1"/>
    <xf numFmtId="0" fontId="25" fillId="9" borderId="22" xfId="5" applyFont="1" applyFill="1" applyBorder="1" applyAlignment="1">
      <alignment horizontal="center"/>
    </xf>
    <xf numFmtId="10" fontId="22" fillId="9" borderId="1" xfId="4" applyNumberFormat="1" applyFont="1" applyFill="1" applyBorder="1"/>
    <xf numFmtId="10" fontId="25" fillId="9" borderId="1" xfId="4" applyNumberFormat="1" applyFont="1" applyFill="1" applyBorder="1"/>
    <xf numFmtId="0" fontId="22" fillId="0" borderId="22" xfId="5" applyFont="1" applyFill="1" applyBorder="1" applyAlignment="1">
      <alignment horizontal="left"/>
    </xf>
    <xf numFmtId="0" fontId="22" fillId="9" borderId="22" xfId="5" applyFont="1" applyFill="1" applyBorder="1" applyAlignment="1">
      <alignment horizontal="center"/>
    </xf>
    <xf numFmtId="0" fontId="22" fillId="9" borderId="24" xfId="5" applyFont="1" applyFill="1" applyBorder="1" applyAlignment="1">
      <alignment horizontal="center"/>
    </xf>
    <xf numFmtId="164" fontId="22" fillId="9" borderId="25" xfId="5" applyNumberFormat="1" applyFont="1" applyFill="1" applyBorder="1"/>
    <xf numFmtId="10" fontId="22" fillId="9" borderId="25" xfId="4" applyNumberFormat="1" applyFont="1" applyFill="1" applyBorder="1"/>
    <xf numFmtId="0" fontId="22" fillId="9" borderId="17" xfId="5" applyFont="1" applyFill="1" applyBorder="1" applyAlignment="1"/>
    <xf numFmtId="0" fontId="22" fillId="9" borderId="0" xfId="5" applyFont="1" applyFill="1" applyBorder="1" applyAlignment="1"/>
    <xf numFmtId="0" fontId="1" fillId="17" borderId="1" xfId="0" applyFont="1" applyFill="1" applyBorder="1"/>
    <xf numFmtId="0" fontId="2" fillId="16" borderId="1" xfId="0" applyFont="1" applyFill="1" applyBorder="1"/>
    <xf numFmtId="0" fontId="5" fillId="13" borderId="1" xfId="0" applyFont="1" applyFill="1" applyBorder="1"/>
    <xf numFmtId="0" fontId="5" fillId="13" borderId="1" xfId="0" applyFont="1" applyFill="1" applyBorder="1" applyAlignment="1">
      <alignment horizontal="center" wrapText="1"/>
    </xf>
    <xf numFmtId="0" fontId="5" fillId="18" borderId="1" xfId="0" applyFont="1" applyFill="1" applyBorder="1" applyAlignment="1">
      <alignment horizontal="right" wrapText="1"/>
    </xf>
    <xf numFmtId="1" fontId="5" fillId="18" borderId="1" xfId="0" applyNumberFormat="1" applyFont="1" applyFill="1" applyBorder="1" applyAlignment="1">
      <alignment horizontal="right" wrapText="1"/>
    </xf>
    <xf numFmtId="0" fontId="0" fillId="19" borderId="1" xfId="0" applyFill="1" applyBorder="1"/>
    <xf numFmtId="0" fontId="3" fillId="20" borderId="1" xfId="0" applyFont="1" applyFill="1" applyBorder="1"/>
    <xf numFmtId="0" fontId="5" fillId="17" borderId="1" xfId="0" applyFont="1" applyFill="1" applyBorder="1"/>
    <xf numFmtId="165" fontId="5" fillId="17" borderId="1" xfId="1" applyNumberFormat="1" applyFont="1" applyFill="1" applyBorder="1" applyAlignment="1"/>
    <xf numFmtId="0" fontId="6" fillId="18" borderId="1" xfId="0" applyFont="1" applyFill="1" applyBorder="1"/>
    <xf numFmtId="165" fontId="0" fillId="18" borderId="1" xfId="1" applyNumberFormat="1" applyFont="1" applyFill="1" applyBorder="1" applyAlignment="1"/>
    <xf numFmtId="0" fontId="6" fillId="18" borderId="0" xfId="0" applyFont="1" applyFill="1" applyBorder="1"/>
    <xf numFmtId="0" fontId="19" fillId="15" borderId="7" xfId="0" applyFont="1" applyFill="1" applyBorder="1"/>
    <xf numFmtId="0" fontId="18" fillId="15" borderId="1" xfId="0" applyFont="1" applyFill="1" applyBorder="1"/>
    <xf numFmtId="0" fontId="5" fillId="15" borderId="1" xfId="0" applyFont="1" applyFill="1" applyBorder="1"/>
    <xf numFmtId="164" fontId="7" fillId="20" borderId="1" xfId="0" applyNumberFormat="1" applyFont="1" applyFill="1" applyBorder="1"/>
    <xf numFmtId="165" fontId="0" fillId="0" borderId="0" xfId="1" applyNumberFormat="1" applyFont="1" applyFill="1" applyBorder="1" applyAlignment="1"/>
    <xf numFmtId="165" fontId="5" fillId="0" borderId="0" xfId="1" applyNumberFormat="1" applyFont="1" applyFill="1" applyBorder="1" applyAlignment="1"/>
    <xf numFmtId="0" fontId="0" fillId="21" borderId="1" xfId="0" applyFill="1" applyBorder="1"/>
    <xf numFmtId="43" fontId="0" fillId="0" borderId="1" xfId="1" applyNumberFormat="1" applyFont="1" applyBorder="1" applyAlignment="1">
      <alignment vertical="center"/>
    </xf>
    <xf numFmtId="164" fontId="0" fillId="22" borderId="1" xfId="0" applyNumberFormat="1" applyFill="1" applyBorder="1"/>
    <xf numFmtId="183" fontId="0" fillId="22" borderId="7" xfId="0" applyNumberFormat="1" applyFill="1" applyBorder="1"/>
    <xf numFmtId="43" fontId="0" fillId="8" borderId="1" xfId="0" applyNumberFormat="1" applyFill="1" applyBorder="1"/>
    <xf numFmtId="0" fontId="25" fillId="17" borderId="19" xfId="5" applyFont="1" applyFill="1" applyBorder="1" applyAlignment="1">
      <alignment horizontal="center"/>
    </xf>
    <xf numFmtId="0" fontId="25" fillId="17" borderId="20" xfId="5" applyFont="1" applyFill="1" applyBorder="1" applyAlignment="1">
      <alignment horizontal="center"/>
    </xf>
    <xf numFmtId="0" fontId="25" fillId="17" borderId="32" xfId="5" applyFont="1" applyFill="1" applyBorder="1"/>
    <xf numFmtId="0" fontId="25" fillId="17" borderId="38" xfId="5" applyFont="1" applyFill="1" applyBorder="1" applyAlignment="1">
      <alignment horizontal="center"/>
    </xf>
    <xf numFmtId="0" fontId="25" fillId="17" borderId="22" xfId="5" applyFont="1" applyFill="1" applyBorder="1"/>
    <xf numFmtId="0" fontId="25" fillId="17" borderId="22" xfId="5" applyFont="1" applyFill="1" applyBorder="1" applyAlignment="1">
      <alignment horizontal="left"/>
    </xf>
    <xf numFmtId="0" fontId="27" fillId="9" borderId="0" xfId="5" applyFont="1" applyFill="1"/>
    <xf numFmtId="0" fontId="27" fillId="0" borderId="0" xfId="5" applyFont="1" applyFill="1" applyBorder="1"/>
    <xf numFmtId="10" fontId="27" fillId="9" borderId="0" xfId="5" applyNumberFormat="1" applyFont="1" applyFill="1" applyBorder="1"/>
    <xf numFmtId="178" fontId="27" fillId="9" borderId="0" xfId="5" applyNumberFormat="1" applyFont="1" applyFill="1" applyBorder="1"/>
    <xf numFmtId="0" fontId="27" fillId="9" borderId="0" xfId="5" applyFont="1" applyFill="1" applyBorder="1"/>
    <xf numFmtId="0" fontId="27" fillId="9" borderId="27" xfId="5" applyFont="1" applyFill="1" applyBorder="1"/>
    <xf numFmtId="0" fontId="27" fillId="9" borderId="28" xfId="5" applyFont="1" applyFill="1" applyBorder="1"/>
    <xf numFmtId="0" fontId="27" fillId="9" borderId="29" xfId="5" applyFont="1" applyFill="1" applyBorder="1"/>
    <xf numFmtId="0" fontId="30" fillId="0" borderId="0" xfId="5" applyFont="1" applyFill="1" applyBorder="1" applyAlignment="1">
      <alignment horizontal="center"/>
    </xf>
    <xf numFmtId="0" fontId="30" fillId="17" borderId="19" xfId="5" applyFont="1" applyFill="1" applyBorder="1" applyAlignment="1">
      <alignment horizontal="center"/>
    </xf>
    <xf numFmtId="0" fontId="30" fillId="17" borderId="20" xfId="5" applyFont="1" applyFill="1" applyBorder="1" applyAlignment="1">
      <alignment horizontal="center"/>
    </xf>
    <xf numFmtId="0" fontId="30" fillId="17" borderId="21" xfId="5" applyFont="1" applyFill="1" applyBorder="1" applyAlignment="1">
      <alignment horizontal="center"/>
    </xf>
    <xf numFmtId="9" fontId="27" fillId="0" borderId="0" xfId="5" applyNumberFormat="1" applyFont="1" applyFill="1" applyBorder="1" applyAlignment="1">
      <alignment horizontal="center"/>
    </xf>
    <xf numFmtId="2" fontId="27" fillId="0" borderId="0" xfId="4" applyNumberFormat="1" applyFont="1" applyFill="1" applyBorder="1" applyAlignment="1">
      <alignment horizontal="center"/>
    </xf>
    <xf numFmtId="0" fontId="27" fillId="9" borderId="22" xfId="5" applyFont="1" applyFill="1" applyBorder="1"/>
    <xf numFmtId="9" fontId="29" fillId="0" borderId="1" xfId="4" applyFont="1" applyBorder="1"/>
    <xf numFmtId="175" fontId="29" fillId="0" borderId="2" xfId="0" applyNumberFormat="1" applyFont="1" applyBorder="1"/>
    <xf numFmtId="164" fontId="29" fillId="0" borderId="1" xfId="0" applyNumberFormat="1" applyFont="1" applyFill="1" applyBorder="1"/>
    <xf numFmtId="10" fontId="29" fillId="0" borderId="1" xfId="0" applyNumberFormat="1" applyFont="1" applyFill="1" applyBorder="1" applyAlignment="1">
      <alignment horizontal="center"/>
    </xf>
    <xf numFmtId="0" fontId="27" fillId="9" borderId="23" xfId="5" applyFont="1" applyFill="1" applyBorder="1" applyAlignment="1">
      <alignment horizontal="center"/>
    </xf>
    <xf numFmtId="164" fontId="27" fillId="9" borderId="1" xfId="5" applyNumberFormat="1" applyFont="1" applyFill="1" applyBorder="1"/>
    <xf numFmtId="10" fontId="27" fillId="9" borderId="1" xfId="4" applyNumberFormat="1" applyFont="1" applyFill="1" applyBorder="1" applyAlignment="1">
      <alignment horizontal="center"/>
    </xf>
    <xf numFmtId="0" fontId="27" fillId="9" borderId="17" xfId="5" applyFont="1" applyFill="1" applyBorder="1" applyAlignment="1"/>
    <xf numFmtId="0" fontId="27" fillId="9" borderId="0" xfId="5" applyFont="1" applyFill="1" applyBorder="1" applyAlignment="1"/>
    <xf numFmtId="164" fontId="29" fillId="0" borderId="1" xfId="0" applyNumberFormat="1" applyFont="1" applyBorder="1"/>
    <xf numFmtId="10" fontId="29" fillId="9" borderId="1" xfId="4" applyNumberFormat="1" applyFont="1" applyFill="1" applyBorder="1" applyAlignment="1">
      <alignment horizontal="center"/>
    </xf>
    <xf numFmtId="2" fontId="30" fillId="0" borderId="0" xfId="4" applyNumberFormat="1" applyFont="1" applyFill="1" applyBorder="1" applyAlignment="1">
      <alignment horizontal="center"/>
    </xf>
    <xf numFmtId="179" fontId="29" fillId="9" borderId="0" xfId="6" applyNumberFormat="1" applyFont="1" applyFill="1" applyBorder="1" applyAlignment="1">
      <alignment horizontal="center"/>
    </xf>
    <xf numFmtId="3" fontId="27" fillId="9" borderId="0" xfId="5" applyNumberFormat="1" applyFont="1" applyFill="1" applyBorder="1" applyAlignment="1">
      <alignment horizontal="center"/>
    </xf>
    <xf numFmtId="0" fontId="27" fillId="9" borderId="0" xfId="5" applyFont="1" applyFill="1" applyBorder="1" applyAlignment="1">
      <alignment horizontal="center"/>
    </xf>
    <xf numFmtId="0" fontId="30" fillId="17" borderId="32" xfId="5" applyFont="1" applyFill="1" applyBorder="1"/>
    <xf numFmtId="9" fontId="31" fillId="0" borderId="1" xfId="4" applyFont="1" applyBorder="1"/>
    <xf numFmtId="175" fontId="32" fillId="0" borderId="1" xfId="0" applyNumberFormat="1" applyFont="1" applyBorder="1"/>
    <xf numFmtId="164" fontId="30" fillId="9" borderId="0" xfId="5" applyNumberFormat="1" applyFont="1" applyFill="1"/>
    <xf numFmtId="10" fontId="30" fillId="9" borderId="0" xfId="4" applyNumberFormat="1" applyFont="1" applyFill="1" applyAlignment="1">
      <alignment horizontal="center"/>
    </xf>
    <xf numFmtId="0" fontId="30" fillId="9" borderId="35" xfId="5" applyFont="1" applyFill="1" applyBorder="1" applyAlignment="1">
      <alignment horizontal="center"/>
    </xf>
    <xf numFmtId="166" fontId="27" fillId="0" borderId="0" xfId="5" applyNumberFormat="1" applyFont="1" applyFill="1" applyBorder="1" applyAlignment="1">
      <alignment horizontal="center"/>
    </xf>
    <xf numFmtId="9" fontId="29" fillId="9" borderId="0" xfId="6" applyNumberFormat="1" applyFont="1" applyFill="1" applyBorder="1" applyAlignment="1">
      <alignment horizontal="center"/>
    </xf>
    <xf numFmtId="0" fontId="27" fillId="9" borderId="32" xfId="5" applyFont="1" applyFill="1" applyBorder="1"/>
    <xf numFmtId="175" fontId="29" fillId="0" borderId="1" xfId="0" applyNumberFormat="1" applyFont="1" applyBorder="1"/>
    <xf numFmtId="164" fontId="27" fillId="9" borderId="3" xfId="5" applyNumberFormat="1" applyFont="1" applyFill="1" applyBorder="1"/>
    <xf numFmtId="0" fontId="27" fillId="9" borderId="35" xfId="5" applyFont="1" applyFill="1" applyBorder="1" applyAlignment="1">
      <alignment horizontal="center"/>
    </xf>
    <xf numFmtId="175" fontId="29" fillId="0" borderId="0" xfId="0" applyNumberFormat="1" applyFont="1" applyFill="1" applyBorder="1"/>
    <xf numFmtId="10" fontId="27" fillId="0" borderId="0" xfId="4" applyNumberFormat="1" applyFont="1" applyFill="1" applyBorder="1" applyAlignment="1">
      <alignment horizontal="center"/>
    </xf>
    <xf numFmtId="10" fontId="29" fillId="9" borderId="0" xfId="6" applyNumberFormat="1" applyFont="1" applyFill="1" applyBorder="1" applyAlignment="1">
      <alignment horizontal="center"/>
    </xf>
    <xf numFmtId="0" fontId="27" fillId="9" borderId="33" xfId="5" applyFont="1" applyFill="1" applyBorder="1"/>
    <xf numFmtId="0" fontId="27" fillId="9" borderId="36" xfId="5" applyFont="1" applyFill="1" applyBorder="1" applyAlignment="1">
      <alignment horizontal="center"/>
    </xf>
    <xf numFmtId="0" fontId="27" fillId="9" borderId="34" xfId="5" applyFont="1" applyFill="1" applyBorder="1"/>
    <xf numFmtId="9" fontId="29" fillId="0" borderId="25" xfId="4" applyFont="1" applyBorder="1"/>
    <xf numFmtId="175" fontId="29" fillId="0" borderId="25" xfId="0" applyNumberFormat="1" applyFont="1" applyBorder="1"/>
    <xf numFmtId="164" fontId="27" fillId="9" borderId="30" xfId="5" applyNumberFormat="1" applyFont="1" applyFill="1" applyBorder="1"/>
    <xf numFmtId="10" fontId="27" fillId="9" borderId="25" xfId="4" applyNumberFormat="1" applyFont="1" applyFill="1" applyBorder="1" applyAlignment="1">
      <alignment horizontal="center"/>
    </xf>
    <xf numFmtId="0" fontId="27" fillId="9" borderId="37" xfId="5" applyFont="1" applyFill="1" applyBorder="1" applyAlignment="1">
      <alignment horizontal="center"/>
    </xf>
    <xf numFmtId="0" fontId="27" fillId="9" borderId="17" xfId="5" applyFont="1" applyFill="1" applyBorder="1"/>
    <xf numFmtId="164" fontId="29" fillId="0" borderId="0" xfId="0" applyNumberFormat="1" applyFont="1" applyBorder="1"/>
    <xf numFmtId="0" fontId="27" fillId="9" borderId="18" xfId="5" applyFont="1" applyFill="1" applyBorder="1"/>
    <xf numFmtId="0" fontId="27" fillId="9" borderId="30" xfId="5" applyFont="1" applyFill="1" applyBorder="1"/>
    <xf numFmtId="0" fontId="27" fillId="9" borderId="31" xfId="5" applyFont="1" applyFill="1" applyBorder="1"/>
    <xf numFmtId="0" fontId="30" fillId="17" borderId="38" xfId="5" applyFont="1" applyFill="1" applyBorder="1" applyAlignment="1">
      <alignment horizontal="center"/>
    </xf>
    <xf numFmtId="9" fontId="27" fillId="9" borderId="1" xfId="5" applyNumberFormat="1" applyFont="1" applyFill="1" applyBorder="1" applyAlignment="1">
      <alignment horizontal="center"/>
    </xf>
    <xf numFmtId="167" fontId="27" fillId="9" borderId="2" xfId="1" applyNumberFormat="1" applyFont="1" applyFill="1" applyBorder="1" applyAlignment="1">
      <alignment horizontal="center"/>
    </xf>
    <xf numFmtId="164" fontId="27" fillId="9" borderId="2" xfId="1" applyNumberFormat="1" applyFont="1" applyFill="1" applyBorder="1" applyAlignment="1">
      <alignment horizontal="center"/>
    </xf>
    <xf numFmtId="0" fontId="30" fillId="9" borderId="0" xfId="5" applyFont="1" applyFill="1" applyBorder="1" applyAlignment="1">
      <alignment horizontal="center"/>
    </xf>
    <xf numFmtId="0" fontId="30" fillId="17" borderId="22" xfId="5" applyFont="1" applyFill="1" applyBorder="1"/>
    <xf numFmtId="0" fontId="30" fillId="9" borderId="1" xfId="5" applyFont="1" applyFill="1" applyBorder="1" applyAlignment="1">
      <alignment horizontal="center"/>
    </xf>
    <xf numFmtId="167" fontId="30" fillId="9" borderId="1" xfId="1" applyNumberFormat="1" applyFont="1" applyFill="1" applyBorder="1" applyAlignment="1">
      <alignment horizontal="center"/>
    </xf>
    <xf numFmtId="164" fontId="30" fillId="9" borderId="1" xfId="5" applyNumberFormat="1" applyFont="1" applyFill="1" applyBorder="1"/>
    <xf numFmtId="10" fontId="30" fillId="9" borderId="1" xfId="4" applyNumberFormat="1" applyFont="1" applyFill="1" applyBorder="1" applyAlignment="1">
      <alignment horizontal="center"/>
    </xf>
    <xf numFmtId="9" fontId="27" fillId="9" borderId="0" xfId="5" applyNumberFormat="1" applyFont="1" applyFill="1" applyBorder="1" applyAlignment="1">
      <alignment horizontal="center"/>
    </xf>
    <xf numFmtId="4" fontId="27" fillId="9" borderId="0" xfId="5" applyNumberFormat="1" applyFont="1" applyFill="1" applyBorder="1"/>
    <xf numFmtId="0" fontId="30" fillId="0" borderId="22" xfId="5" applyFont="1" applyFill="1" applyBorder="1"/>
    <xf numFmtId="167" fontId="27" fillId="9" borderId="1" xfId="1" applyNumberFormat="1" applyFont="1" applyFill="1" applyBorder="1" applyAlignment="1">
      <alignment horizontal="center"/>
    </xf>
    <xf numFmtId="164" fontId="27" fillId="9" borderId="1" xfId="1" applyNumberFormat="1" applyFont="1" applyFill="1" applyBorder="1" applyAlignment="1">
      <alignment horizontal="center"/>
    </xf>
    <xf numFmtId="0" fontId="27" fillId="9" borderId="24" xfId="5" applyFont="1" applyFill="1" applyBorder="1"/>
    <xf numFmtId="9" fontId="27" fillId="9" borderId="25" xfId="5" applyNumberFormat="1" applyFont="1" applyFill="1" applyBorder="1" applyAlignment="1">
      <alignment horizontal="center"/>
    </xf>
    <xf numFmtId="0" fontId="27" fillId="9" borderId="26" xfId="5" applyFont="1" applyFill="1" applyBorder="1" applyAlignment="1">
      <alignment horizontal="center"/>
    </xf>
    <xf numFmtId="0" fontId="30" fillId="9" borderId="0" xfId="5" applyFont="1" applyFill="1" applyBorder="1"/>
    <xf numFmtId="0" fontId="30" fillId="9" borderId="22" xfId="5" applyFont="1" applyFill="1" applyBorder="1" applyAlignment="1">
      <alignment horizontal="center"/>
    </xf>
    <xf numFmtId="164" fontId="27" fillId="9" borderId="1" xfId="5" applyNumberFormat="1" applyFont="1" applyFill="1" applyBorder="1" applyAlignment="1">
      <alignment horizontal="center"/>
    </xf>
    <xf numFmtId="10" fontId="27" fillId="9" borderId="1" xfId="4" applyNumberFormat="1" applyFont="1" applyFill="1" applyBorder="1"/>
    <xf numFmtId="0" fontId="30" fillId="17" borderId="22" xfId="5" applyFont="1" applyFill="1" applyBorder="1" applyAlignment="1">
      <alignment horizontal="left"/>
    </xf>
    <xf numFmtId="164" fontId="30" fillId="9" borderId="1" xfId="5" applyNumberFormat="1" applyFont="1" applyFill="1" applyBorder="1" applyAlignment="1">
      <alignment horizontal="center"/>
    </xf>
    <xf numFmtId="10" fontId="30" fillId="9" borderId="1" xfId="4" applyNumberFormat="1" applyFont="1" applyFill="1" applyBorder="1"/>
    <xf numFmtId="0" fontId="30" fillId="9" borderId="23" xfId="5" applyFont="1" applyFill="1" applyBorder="1" applyAlignment="1">
      <alignment horizontal="center"/>
    </xf>
    <xf numFmtId="0" fontId="27" fillId="0" borderId="22" xfId="5" applyFont="1" applyFill="1" applyBorder="1" applyAlignment="1">
      <alignment horizontal="left"/>
    </xf>
    <xf numFmtId="0" fontId="27" fillId="9" borderId="22" xfId="5" applyFont="1" applyFill="1" applyBorder="1" applyAlignment="1">
      <alignment horizontal="center"/>
    </xf>
    <xf numFmtId="0" fontId="27" fillId="9" borderId="24" xfId="5" applyFont="1" applyFill="1" applyBorder="1" applyAlignment="1">
      <alignment horizontal="center"/>
    </xf>
    <xf numFmtId="164" fontId="27" fillId="9" borderId="25" xfId="5" applyNumberFormat="1" applyFont="1" applyFill="1" applyBorder="1" applyAlignment="1">
      <alignment horizontal="center"/>
    </xf>
    <xf numFmtId="164" fontId="27" fillId="9" borderId="25" xfId="5" applyNumberFormat="1" applyFont="1" applyFill="1" applyBorder="1"/>
    <xf numFmtId="10" fontId="27" fillId="9" borderId="25" xfId="4" applyNumberFormat="1" applyFont="1" applyFill="1" applyBorder="1"/>
    <xf numFmtId="0" fontId="22" fillId="9" borderId="1" xfId="5" applyFont="1" applyFill="1" applyBorder="1"/>
    <xf numFmtId="1" fontId="0" fillId="8" borderId="1" xfId="0" applyNumberFormat="1" applyFill="1" applyBorder="1"/>
    <xf numFmtId="0" fontId="0" fillId="17" borderId="1" xfId="0" applyFill="1" applyBorder="1"/>
    <xf numFmtId="43" fontId="0" fillId="17" borderId="5" xfId="1" applyFont="1" applyFill="1" applyBorder="1"/>
    <xf numFmtId="1" fontId="0" fillId="17" borderId="5" xfId="0" applyNumberFormat="1" applyFill="1" applyBorder="1"/>
    <xf numFmtId="0" fontId="0" fillId="24" borderId="1" xfId="0" applyFill="1" applyBorder="1" applyAlignment="1">
      <alignment horizontal="center"/>
    </xf>
    <xf numFmtId="167" fontId="0" fillId="24" borderId="1" xfId="0" applyNumberFormat="1" applyFont="1" applyFill="1" applyBorder="1" applyAlignment="1">
      <alignment horizontal="center" wrapText="1"/>
    </xf>
    <xf numFmtId="169" fontId="0" fillId="24" borderId="1" xfId="0" applyNumberFormat="1" applyFill="1" applyBorder="1" applyAlignment="1">
      <alignment horizontal="right"/>
    </xf>
    <xf numFmtId="167" fontId="0" fillId="24" borderId="1" xfId="0" applyNumberFormat="1" applyFill="1" applyBorder="1" applyAlignment="1">
      <alignment horizontal="center"/>
    </xf>
    <xf numFmtId="0" fontId="5" fillId="25" borderId="1" xfId="0" applyFont="1" applyFill="1" applyBorder="1"/>
    <xf numFmtId="0" fontId="0" fillId="25" borderId="1" xfId="0" applyFill="1" applyBorder="1"/>
    <xf numFmtId="0" fontId="5" fillId="16" borderId="1" xfId="0" applyFont="1" applyFill="1" applyBorder="1"/>
    <xf numFmtId="164" fontId="0" fillId="5" borderId="1" xfId="0" applyNumberFormat="1" applyFont="1" applyFill="1" applyBorder="1" applyAlignment="1">
      <alignment horizontal="right"/>
    </xf>
    <xf numFmtId="0" fontId="8" fillId="13" borderId="1" xfId="0" applyFont="1" applyFill="1" applyBorder="1" applyAlignment="1">
      <alignment horizontal="center"/>
    </xf>
    <xf numFmtId="0" fontId="0" fillId="0" borderId="1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5" borderId="1" xfId="0" applyFill="1" applyBorder="1" applyAlignment="1">
      <alignment horizontal="center"/>
    </xf>
    <xf numFmtId="0" fontId="0" fillId="15" borderId="1" xfId="0" applyFill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8" fillId="16" borderId="2" xfId="0" applyFont="1" applyFill="1" applyBorder="1" applyAlignment="1">
      <alignment horizontal="center"/>
    </xf>
    <xf numFmtId="0" fontId="8" fillId="16" borderId="3" xfId="0" applyFont="1" applyFill="1" applyBorder="1" applyAlignment="1">
      <alignment horizontal="center"/>
    </xf>
    <xf numFmtId="0" fontId="0" fillId="17" borderId="4" xfId="0" applyFill="1" applyBorder="1" applyAlignment="1">
      <alignment horizontal="left" vertical="center"/>
    </xf>
    <xf numFmtId="0" fontId="0" fillId="17" borderId="7" xfId="0" applyFill="1" applyBorder="1" applyAlignment="1">
      <alignment horizontal="left" vertical="center"/>
    </xf>
    <xf numFmtId="0" fontId="0" fillId="17" borderId="4" xfId="0" applyFill="1" applyBorder="1" applyAlignment="1">
      <alignment horizontal="center" vertical="center"/>
    </xf>
    <xf numFmtId="0" fontId="0" fillId="17" borderId="7" xfId="0" applyFill="1" applyBorder="1" applyAlignment="1">
      <alignment horizontal="center" vertical="center"/>
    </xf>
    <xf numFmtId="0" fontId="0" fillId="0" borderId="4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17" borderId="5" xfId="0" applyFont="1" applyFill="1" applyBorder="1" applyAlignment="1">
      <alignment horizontal="center"/>
    </xf>
    <xf numFmtId="0" fontId="8" fillId="17" borderId="6" xfId="0" applyFont="1" applyFill="1" applyBorder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9" fillId="0" borderId="1" xfId="0" applyFont="1" applyFill="1" applyBorder="1" applyAlignment="1">
      <alignment horizontal="left" wrapText="1"/>
    </xf>
    <xf numFmtId="0" fontId="5" fillId="16" borderId="1" xfId="0" applyFont="1" applyFill="1" applyBorder="1" applyAlignment="1">
      <alignment horizontal="center"/>
    </xf>
    <xf numFmtId="0" fontId="5" fillId="16" borderId="2" xfId="0" applyFont="1" applyFill="1" applyBorder="1" applyAlignment="1">
      <alignment horizontal="left"/>
    </xf>
    <xf numFmtId="0" fontId="5" fillId="16" borderId="11" xfId="0" applyFont="1" applyFill="1" applyBorder="1" applyAlignment="1">
      <alignment horizontal="left"/>
    </xf>
    <xf numFmtId="0" fontId="5" fillId="16" borderId="3" xfId="0" applyFont="1" applyFill="1" applyBorder="1" applyAlignment="1">
      <alignment horizontal="left"/>
    </xf>
    <xf numFmtId="0" fontId="0" fillId="0" borderId="2" xfId="0" applyFill="1" applyBorder="1" applyAlignment="1">
      <alignment horizontal="left"/>
    </xf>
    <xf numFmtId="0" fontId="0" fillId="0" borderId="11" xfId="0" applyFill="1" applyBorder="1" applyAlignment="1">
      <alignment horizontal="left"/>
    </xf>
    <xf numFmtId="0" fontId="0" fillId="0" borderId="3" xfId="0" applyFill="1" applyBorder="1" applyAlignment="1">
      <alignment horizontal="left"/>
    </xf>
    <xf numFmtId="0" fontId="6" fillId="17" borderId="2" xfId="0" applyFont="1" applyFill="1" applyBorder="1" applyAlignment="1">
      <alignment horizontal="center" wrapText="1"/>
    </xf>
    <xf numFmtId="0" fontId="6" fillId="17" borderId="3" xfId="0" applyFont="1" applyFill="1" applyBorder="1" applyAlignment="1">
      <alignment horizontal="center" wrapText="1"/>
    </xf>
    <xf numFmtId="0" fontId="0" fillId="3" borderId="1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4" borderId="6" xfId="0" applyFill="1" applyBorder="1" applyAlignment="1">
      <alignment horizontal="left"/>
    </xf>
    <xf numFmtId="0" fontId="7" fillId="16" borderId="1" xfId="0" applyFont="1" applyFill="1" applyBorder="1" applyAlignment="1">
      <alignment horizontal="right"/>
    </xf>
    <xf numFmtId="0" fontId="8" fillId="16" borderId="11" xfId="0" applyFont="1" applyFill="1" applyBorder="1" applyAlignment="1">
      <alignment horizontal="center"/>
    </xf>
    <xf numFmtId="0" fontId="7" fillId="17" borderId="2" xfId="0" applyFont="1" applyFill="1" applyBorder="1" applyAlignment="1">
      <alignment horizontal="center" wrapText="1"/>
    </xf>
    <xf numFmtId="0" fontId="7" fillId="17" borderId="11" xfId="0" applyFont="1" applyFill="1" applyBorder="1" applyAlignment="1">
      <alignment horizontal="center" wrapText="1"/>
    </xf>
    <xf numFmtId="0" fontId="7" fillId="17" borderId="3" xfId="0" applyFont="1" applyFill="1" applyBorder="1" applyAlignment="1">
      <alignment horizontal="center" wrapText="1"/>
    </xf>
    <xf numFmtId="0" fontId="0" fillId="0" borderId="6" xfId="0" applyBorder="1" applyAlignment="1">
      <alignment horizontal="center"/>
    </xf>
    <xf numFmtId="0" fontId="0" fillId="16" borderId="1" xfId="0" applyFill="1" applyBorder="1" applyAlignment="1">
      <alignment horizontal="left"/>
    </xf>
    <xf numFmtId="0" fontId="0" fillId="17" borderId="2" xfId="0" applyFill="1" applyBorder="1" applyAlignment="1">
      <alignment horizontal="center"/>
    </xf>
    <xf numFmtId="0" fontId="0" fillId="17" borderId="3" xfId="0" applyFill="1" applyBorder="1" applyAlignment="1">
      <alignment horizontal="center"/>
    </xf>
    <xf numFmtId="0" fontId="0" fillId="17" borderId="1" xfId="0" applyFill="1" applyBorder="1" applyAlignment="1">
      <alignment horizontal="center"/>
    </xf>
    <xf numFmtId="0" fontId="18" fillId="0" borderId="1" xfId="0" applyFont="1" applyBorder="1" applyAlignment="1">
      <alignment horizontal="left"/>
    </xf>
    <xf numFmtId="0" fontId="18" fillId="5" borderId="1" xfId="0" applyFont="1" applyFill="1" applyBorder="1" applyAlignment="1">
      <alignment horizontal="center" wrapText="1"/>
    </xf>
    <xf numFmtId="0" fontId="19" fillId="0" borderId="13" xfId="0" applyFont="1" applyBorder="1" applyAlignment="1">
      <alignment horizontal="center"/>
    </xf>
    <xf numFmtId="0" fontId="19" fillId="0" borderId="39" xfId="0" applyFont="1" applyBorder="1" applyAlignment="1">
      <alignment horizontal="center"/>
    </xf>
    <xf numFmtId="0" fontId="19" fillId="0" borderId="8" xfId="0" applyFont="1" applyBorder="1" applyAlignment="1">
      <alignment horizontal="center"/>
    </xf>
    <xf numFmtId="0" fontId="19" fillId="0" borderId="5" xfId="0" applyFont="1" applyBorder="1" applyAlignment="1">
      <alignment horizontal="center"/>
    </xf>
    <xf numFmtId="0" fontId="19" fillId="0" borderId="6" xfId="0" applyFont="1" applyBorder="1" applyAlignment="1">
      <alignment horizontal="center"/>
    </xf>
    <xf numFmtId="0" fontId="19" fillId="0" borderId="10" xfId="0" applyFont="1" applyBorder="1" applyAlignment="1">
      <alignment horizontal="center"/>
    </xf>
    <xf numFmtId="0" fontId="0" fillId="6" borderId="1" xfId="0" applyFill="1" applyBorder="1" applyAlignment="1">
      <alignment horizontal="center" wrapText="1"/>
    </xf>
    <xf numFmtId="0" fontId="7" fillId="3" borderId="1" xfId="0" applyFont="1" applyFill="1" applyBorder="1" applyAlignment="1">
      <alignment horizontal="center"/>
    </xf>
    <xf numFmtId="0" fontId="7" fillId="7" borderId="1" xfId="0" applyFont="1" applyFill="1" applyBorder="1" applyAlignment="1">
      <alignment horizontal="center"/>
    </xf>
    <xf numFmtId="0" fontId="7" fillId="10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0" fillId="0" borderId="0" xfId="0" applyFont="1" applyBorder="1" applyAlignment="1">
      <alignment horizontal="center" wrapText="1"/>
    </xf>
    <xf numFmtId="0" fontId="6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left"/>
    </xf>
    <xf numFmtId="0" fontId="10" fillId="0" borderId="0" xfId="0" applyFont="1" applyBorder="1" applyAlignment="1">
      <alignment horizontal="left" wrapText="1"/>
    </xf>
    <xf numFmtId="0" fontId="0" fillId="0" borderId="0" xfId="0" applyAlignment="1">
      <alignment horizontal="left" wrapText="1"/>
    </xf>
    <xf numFmtId="0" fontId="7" fillId="7" borderId="1" xfId="0" applyFont="1" applyFill="1" applyBorder="1" applyAlignment="1">
      <alignment horizontal="left"/>
    </xf>
    <xf numFmtId="0" fontId="0" fillId="6" borderId="2" xfId="0" applyFill="1" applyBorder="1" applyAlignment="1">
      <alignment horizontal="left"/>
    </xf>
    <xf numFmtId="0" fontId="0" fillId="6" borderId="3" xfId="0" applyFill="1" applyBorder="1" applyAlignment="1">
      <alignment horizontal="left"/>
    </xf>
    <xf numFmtId="0" fontId="0" fillId="6" borderId="1" xfId="0" applyFill="1" applyBorder="1" applyAlignment="1">
      <alignment horizontal="left"/>
    </xf>
    <xf numFmtId="0" fontId="5" fillId="3" borderId="1" xfId="0" applyFont="1" applyFill="1" applyBorder="1" applyAlignment="1">
      <alignment horizontal="center" wrapText="1"/>
    </xf>
    <xf numFmtId="0" fontId="7" fillId="7" borderId="2" xfId="0" applyFont="1" applyFill="1" applyBorder="1" applyAlignment="1">
      <alignment horizontal="center"/>
    </xf>
    <xf numFmtId="0" fontId="7" fillId="7" borderId="1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left" wrapText="1"/>
    </xf>
    <xf numFmtId="0" fontId="0" fillId="8" borderId="1" xfId="0" applyFill="1" applyBorder="1" applyAlignment="1">
      <alignment horizontal="left"/>
    </xf>
    <xf numFmtId="0" fontId="5" fillId="22" borderId="5" xfId="0" applyFont="1" applyFill="1" applyBorder="1" applyAlignment="1">
      <alignment horizontal="left"/>
    </xf>
    <xf numFmtId="0" fontId="5" fillId="22" borderId="10" xfId="0" applyFont="1" applyFill="1" applyBorder="1" applyAlignment="1">
      <alignment horizontal="left"/>
    </xf>
    <xf numFmtId="0" fontId="5" fillId="22" borderId="2" xfId="0" applyFont="1" applyFill="1" applyBorder="1" applyAlignment="1">
      <alignment horizontal="left"/>
    </xf>
    <xf numFmtId="0" fontId="5" fillId="22" borderId="3" xfId="0" applyFont="1" applyFill="1" applyBorder="1" applyAlignment="1">
      <alignment horizontal="left"/>
    </xf>
    <xf numFmtId="0" fontId="0" fillId="0" borderId="0" xfId="0" applyAlignment="1">
      <alignment horizontal="center" wrapText="1"/>
    </xf>
    <xf numFmtId="0" fontId="28" fillId="16" borderId="14" xfId="5" applyFont="1" applyFill="1" applyBorder="1" applyAlignment="1">
      <alignment horizontal="center"/>
    </xf>
    <xf numFmtId="0" fontId="29" fillId="16" borderId="15" xfId="0" applyFont="1" applyFill="1" applyBorder="1"/>
    <xf numFmtId="0" fontId="29" fillId="16" borderId="16" xfId="0" applyFont="1" applyFill="1" applyBorder="1"/>
    <xf numFmtId="0" fontId="27" fillId="9" borderId="17" xfId="5" applyFont="1" applyFill="1" applyBorder="1" applyAlignment="1">
      <alignment horizontal="center" wrapText="1"/>
    </xf>
    <xf numFmtId="0" fontId="27" fillId="9" borderId="0" xfId="5" applyFont="1" applyFill="1" applyBorder="1" applyAlignment="1">
      <alignment horizontal="center" wrapText="1"/>
    </xf>
    <xf numFmtId="0" fontId="23" fillId="23" borderId="14" xfId="5" applyFont="1" applyFill="1" applyBorder="1" applyAlignment="1">
      <alignment horizontal="center"/>
    </xf>
    <xf numFmtId="0" fontId="24" fillId="23" borderId="15" xfId="5" applyFont="1" applyFill="1" applyBorder="1" applyAlignment="1">
      <alignment horizontal="center"/>
    </xf>
    <xf numFmtId="0" fontId="22" fillId="9" borderId="17" xfId="5" applyFont="1" applyFill="1" applyBorder="1" applyAlignment="1">
      <alignment horizontal="center" wrapText="1"/>
    </xf>
    <xf numFmtId="0" fontId="22" fillId="9" borderId="0" xfId="5" applyFont="1" applyFill="1" applyBorder="1" applyAlignment="1">
      <alignment horizontal="center" wrapText="1"/>
    </xf>
    <xf numFmtId="0" fontId="0" fillId="27" borderId="1" xfId="0" applyFill="1" applyBorder="1"/>
    <xf numFmtId="164" fontId="0" fillId="27" borderId="1" xfId="0" applyNumberFormat="1" applyFill="1" applyBorder="1"/>
    <xf numFmtId="0" fontId="0" fillId="26" borderId="1" xfId="0" applyFont="1" applyFill="1" applyBorder="1"/>
    <xf numFmtId="164" fontId="0" fillId="26" borderId="1" xfId="0" applyNumberFormat="1" applyFont="1" applyFill="1" applyBorder="1"/>
  </cellXfs>
  <cellStyles count="7">
    <cellStyle name="Millares" xfId="1" builtinId="3"/>
    <cellStyle name="Millares 2" xfId="3"/>
    <cellStyle name="Moneda" xfId="2" builtinId="4"/>
    <cellStyle name="Normal" xfId="0" builtinId="0"/>
    <cellStyle name="Normal 2" xfId="5"/>
    <cellStyle name="Porcentual" xfId="4" builtinId="5"/>
    <cellStyle name="Porcentual 2" xfId="6"/>
  </cellStyles>
  <dxfs count="0"/>
  <tableStyles count="0" defaultTableStyle="TableStyleMedium9" defaultPivotStyle="PivotStyleLight16"/>
  <colors>
    <mruColors>
      <color rgb="FFFF99CC"/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style val="31"/>
  <c:chart>
    <c:title>
      <c:tx>
        <c:rich>
          <a:bodyPr/>
          <a:lstStyle/>
          <a:p>
            <a:pPr>
              <a:defRPr/>
            </a:pPr>
            <a:r>
              <a:rPr lang="es-ES"/>
              <a:t>PRECIO-VENTA</a:t>
            </a:r>
          </a:p>
        </c:rich>
      </c:tx>
    </c:title>
    <c:plotArea>
      <c:layout/>
      <c:lineChart>
        <c:grouping val="standard"/>
        <c:ser>
          <c:idx val="0"/>
          <c:order val="0"/>
          <c:cat>
            <c:numRef>
              <c:f>'SENSIBILIDAD (2)'!$D$6:$D$12</c:f>
              <c:numCache>
                <c:formatCode>0%</c:formatCode>
                <c:ptCount val="7"/>
                <c:pt idx="0">
                  <c:v>-0.15</c:v>
                </c:pt>
                <c:pt idx="1">
                  <c:v>-0.1</c:v>
                </c:pt>
                <c:pt idx="2">
                  <c:v>-0.05</c:v>
                </c:pt>
                <c:pt idx="3">
                  <c:v>0</c:v>
                </c:pt>
                <c:pt idx="4">
                  <c:v>0.05</c:v>
                </c:pt>
                <c:pt idx="5">
                  <c:v>0.1</c:v>
                </c:pt>
                <c:pt idx="6">
                  <c:v>0.15</c:v>
                </c:pt>
              </c:numCache>
            </c:numRef>
          </c:cat>
          <c:val>
            <c:numRef>
              <c:f>'SENSIBILIDAD (2)'!$E$6:$E$12</c:f>
              <c:numCache>
                <c:formatCode>_-[$$-300A]\ * #,##0.00_ ;_-[$$-300A]\ * \-#,##0.00\ ;_-[$$-300A]\ * "-"??_ ;_-@_ </c:formatCode>
                <c:ptCount val="7"/>
                <c:pt idx="0">
                  <c:v>-89738.060925646816</c:v>
                </c:pt>
                <c:pt idx="1">
                  <c:v>865.18651108235645</c:v>
                </c:pt>
                <c:pt idx="2">
                  <c:v>86281.707928304415</c:v>
                </c:pt>
                <c:pt idx="3">
                  <c:v>165544.89678499859</c:v>
                </c:pt>
                <c:pt idx="4">
                  <c:v>242800.94156446212</c:v>
                </c:pt>
                <c:pt idx="5">
                  <c:v>320056.98634392582</c:v>
                </c:pt>
                <c:pt idx="6">
                  <c:v>396701.7858881572</c:v>
                </c:pt>
              </c:numCache>
            </c:numRef>
          </c:val>
        </c:ser>
        <c:marker val="1"/>
        <c:axId val="70691072"/>
        <c:axId val="74268672"/>
      </c:lineChart>
      <c:catAx>
        <c:axId val="70691072"/>
        <c:scaling>
          <c:orientation val="minMax"/>
        </c:scaling>
        <c:axPos val="b"/>
        <c:numFmt formatCode="0%" sourceLinked="1"/>
        <c:majorTickMark val="none"/>
        <c:tickLblPos val="nextTo"/>
        <c:crossAx val="74268672"/>
        <c:crosses val="autoZero"/>
        <c:auto val="1"/>
        <c:lblAlgn val="ctr"/>
        <c:lblOffset val="100"/>
      </c:catAx>
      <c:valAx>
        <c:axId val="74268672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ES"/>
                  <a:t>VAN</a:t>
                </a:r>
              </a:p>
            </c:rich>
          </c:tx>
        </c:title>
        <c:numFmt formatCode="_-* #,##0\ [$$-300A]_-;\-* #,##0\ [$$-300A]_-;_-* &quot;-&quot;\ [$$-300A]_-;_-@_-" sourceLinked="0"/>
        <c:majorTickMark val="none"/>
        <c:tickLblPos val="nextTo"/>
        <c:crossAx val="70691072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</c:chart>
  <c:spPr>
    <a:gradFill rotWithShape="1">
      <a:gsLst>
        <a:gs pos="0">
          <a:schemeClr val="accent1">
            <a:tint val="50000"/>
            <a:satMod val="300000"/>
          </a:schemeClr>
        </a:gs>
        <a:gs pos="35000">
          <a:schemeClr val="accent1">
            <a:tint val="37000"/>
            <a:satMod val="300000"/>
          </a:schemeClr>
        </a:gs>
        <a:gs pos="100000">
          <a:schemeClr val="accent1">
            <a:tint val="15000"/>
            <a:satMod val="350000"/>
          </a:schemeClr>
        </a:gs>
      </a:gsLst>
      <a:lin ang="16200000" scaled="1"/>
    </a:gradFill>
    <a:ln w="9525" cap="flat" cmpd="sng" algn="ctr">
      <a:solidFill>
        <a:schemeClr val="accent1">
          <a:shade val="95000"/>
          <a:satMod val="105000"/>
        </a:schemeClr>
      </a:solidFill>
      <a:prstDash val="solid"/>
    </a:ln>
    <a:effectLst>
      <a:outerShdw blurRad="40000" dist="20000" dir="5400000" rotWithShape="0">
        <a:srgbClr val="000000">
          <a:alpha val="38000"/>
        </a:srgbClr>
      </a:outerShdw>
    </a:effectLst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ES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style val="31"/>
  <c:chart>
    <c:title>
      <c:tx>
        <c:rich>
          <a:bodyPr/>
          <a:lstStyle/>
          <a:p>
            <a:pPr>
              <a:defRPr/>
            </a:pPr>
            <a:r>
              <a:rPr lang="es-ES"/>
              <a:t>PRECIO-VENTA</a:t>
            </a:r>
          </a:p>
        </c:rich>
      </c:tx>
    </c:title>
    <c:plotArea>
      <c:layout/>
      <c:lineChart>
        <c:grouping val="stacked"/>
        <c:ser>
          <c:idx val="0"/>
          <c:order val="0"/>
          <c:cat>
            <c:numRef>
              <c:f>'SENSIBILIDAD (2)'!$D$6:$D$12</c:f>
              <c:numCache>
                <c:formatCode>0%</c:formatCode>
                <c:ptCount val="7"/>
                <c:pt idx="0">
                  <c:v>-0.15</c:v>
                </c:pt>
                <c:pt idx="1">
                  <c:v>-0.1</c:v>
                </c:pt>
                <c:pt idx="2">
                  <c:v>-0.05</c:v>
                </c:pt>
                <c:pt idx="3">
                  <c:v>0</c:v>
                </c:pt>
                <c:pt idx="4">
                  <c:v>0.05</c:v>
                </c:pt>
                <c:pt idx="5">
                  <c:v>0.1</c:v>
                </c:pt>
                <c:pt idx="6">
                  <c:v>0.15</c:v>
                </c:pt>
              </c:numCache>
            </c:numRef>
          </c:cat>
          <c:val>
            <c:numRef>
              <c:f>'SENSIBILIDAD (2)'!$F$6:$F$12</c:f>
              <c:numCache>
                <c:formatCode>0.00%</c:formatCode>
                <c:ptCount val="7"/>
                <c:pt idx="0">
                  <c:v>8.9721512232866257E-2</c:v>
                </c:pt>
                <c:pt idx="1">
                  <c:v>0.21124379582604014</c:v>
                </c:pt>
                <c:pt idx="2">
                  <c:v>0.34293928734161511</c:v>
                </c:pt>
                <c:pt idx="3">
                  <c:v>0.47757197320145717</c:v>
                </c:pt>
                <c:pt idx="4">
                  <c:v>0.61772333889942477</c:v>
                </c:pt>
                <c:pt idx="5">
                  <c:v>0.76727025473530175</c:v>
                </c:pt>
                <c:pt idx="6">
                  <c:v>0.92086134620295945</c:v>
                </c:pt>
              </c:numCache>
            </c:numRef>
          </c:val>
        </c:ser>
        <c:marker val="1"/>
        <c:axId val="74315264"/>
        <c:axId val="74316800"/>
      </c:lineChart>
      <c:catAx>
        <c:axId val="74315264"/>
        <c:scaling>
          <c:orientation val="minMax"/>
        </c:scaling>
        <c:axPos val="b"/>
        <c:numFmt formatCode="0%" sourceLinked="1"/>
        <c:majorTickMark val="none"/>
        <c:tickLblPos val="nextTo"/>
        <c:crossAx val="74316800"/>
        <c:crosses val="autoZero"/>
        <c:auto val="1"/>
        <c:lblAlgn val="ctr"/>
        <c:lblOffset val="100"/>
      </c:catAx>
      <c:valAx>
        <c:axId val="74316800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ES"/>
                  <a:t>TIR</a:t>
                </a:r>
              </a:p>
            </c:rich>
          </c:tx>
        </c:title>
        <c:numFmt formatCode="0.00%" sourceLinked="1"/>
        <c:majorTickMark val="none"/>
        <c:tickLblPos val="nextTo"/>
        <c:crossAx val="74315264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</c:chart>
  <c:spPr>
    <a:gradFill rotWithShape="1">
      <a:gsLst>
        <a:gs pos="0">
          <a:schemeClr val="accent1">
            <a:tint val="50000"/>
            <a:satMod val="300000"/>
          </a:schemeClr>
        </a:gs>
        <a:gs pos="35000">
          <a:schemeClr val="accent1">
            <a:tint val="37000"/>
            <a:satMod val="300000"/>
          </a:schemeClr>
        </a:gs>
        <a:gs pos="100000">
          <a:schemeClr val="accent1">
            <a:tint val="15000"/>
            <a:satMod val="350000"/>
          </a:schemeClr>
        </a:gs>
      </a:gsLst>
      <a:lin ang="16200000" scaled="1"/>
    </a:gradFill>
    <a:ln w="9525" cap="flat" cmpd="sng" algn="ctr">
      <a:solidFill>
        <a:schemeClr val="accent1">
          <a:shade val="95000"/>
          <a:satMod val="105000"/>
        </a:schemeClr>
      </a:solidFill>
      <a:prstDash val="solid"/>
    </a:ln>
    <a:effectLst>
      <a:outerShdw blurRad="40000" dist="20000" dir="5400000" rotWithShape="0">
        <a:srgbClr val="000000">
          <a:alpha val="38000"/>
        </a:srgbClr>
      </a:outerShdw>
    </a:effectLst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ES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style val="31"/>
  <c:chart>
    <c:title>
      <c:tx>
        <c:rich>
          <a:bodyPr/>
          <a:lstStyle/>
          <a:p>
            <a:pPr>
              <a:defRPr/>
            </a:pPr>
            <a:r>
              <a:rPr lang="es-ES"/>
              <a:t>DEMANDA</a:t>
            </a:r>
          </a:p>
        </c:rich>
      </c:tx>
    </c:title>
    <c:plotArea>
      <c:layout/>
      <c:lineChart>
        <c:grouping val="standard"/>
        <c:ser>
          <c:idx val="0"/>
          <c:order val="0"/>
          <c:cat>
            <c:numRef>
              <c:f>'SENSIBILIDAD (2)'!$D$23:$D$29</c:f>
              <c:numCache>
                <c:formatCode>0%</c:formatCode>
                <c:ptCount val="7"/>
                <c:pt idx="0">
                  <c:v>-0.15</c:v>
                </c:pt>
                <c:pt idx="1">
                  <c:v>-0.1</c:v>
                </c:pt>
                <c:pt idx="2">
                  <c:v>-0.05</c:v>
                </c:pt>
                <c:pt idx="3" formatCode="General">
                  <c:v>0</c:v>
                </c:pt>
                <c:pt idx="4">
                  <c:v>0.05</c:v>
                </c:pt>
                <c:pt idx="5">
                  <c:v>0.1</c:v>
                </c:pt>
                <c:pt idx="6">
                  <c:v>0.15</c:v>
                </c:pt>
              </c:numCache>
            </c:numRef>
          </c:cat>
          <c:val>
            <c:numRef>
              <c:f>'SENSIBILIDAD (2)'!$E$23:$E$29</c:f>
              <c:numCache>
                <c:formatCode>_-[$$-300A]\ * #,##0.00_ ;_-[$$-300A]\ * \-#,##0.00\ ;_-[$$-300A]\ * "-"??_ ;_-@_ </c:formatCode>
                <c:ptCount val="7"/>
                <c:pt idx="0">
                  <c:v>-15974.393901365518</c:v>
                </c:pt>
                <c:pt idx="1">
                  <c:v>47976.450759922154</c:v>
                </c:pt>
                <c:pt idx="2">
                  <c:v>108396.5609422173</c:v>
                </c:pt>
                <c:pt idx="3">
                  <c:v>165544.89678499859</c:v>
                </c:pt>
                <c:pt idx="4">
                  <c:v>221870.74246922426</c:v>
                </c:pt>
                <c:pt idx="5">
                  <c:v>278196.58815345017</c:v>
                </c:pt>
                <c:pt idx="6">
                  <c:v>334472.30679893226</c:v>
                </c:pt>
              </c:numCache>
            </c:numRef>
          </c:val>
        </c:ser>
        <c:marker val="1"/>
        <c:axId val="73507200"/>
        <c:axId val="73508736"/>
      </c:lineChart>
      <c:catAx>
        <c:axId val="73507200"/>
        <c:scaling>
          <c:orientation val="minMax"/>
        </c:scaling>
        <c:axPos val="b"/>
        <c:numFmt formatCode="0%" sourceLinked="1"/>
        <c:majorTickMark val="none"/>
        <c:tickLblPos val="nextTo"/>
        <c:crossAx val="73508736"/>
        <c:crosses val="autoZero"/>
        <c:auto val="1"/>
        <c:lblAlgn val="ctr"/>
        <c:lblOffset val="100"/>
      </c:catAx>
      <c:valAx>
        <c:axId val="73508736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ES"/>
                  <a:t>VAN</a:t>
                </a:r>
              </a:p>
            </c:rich>
          </c:tx>
        </c:title>
        <c:numFmt formatCode="_-[$$-300A]\ * #,##0.00_ ;_-[$$-300A]\ * \-#,##0.00\ ;_-[$$-300A]\ * &quot;-&quot;??_ ;_-@_ " sourceLinked="1"/>
        <c:majorTickMark val="none"/>
        <c:tickLblPos val="nextTo"/>
        <c:crossAx val="73507200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</c:chart>
  <c:spPr>
    <a:gradFill rotWithShape="1">
      <a:gsLst>
        <a:gs pos="0">
          <a:schemeClr val="accent1">
            <a:tint val="50000"/>
            <a:satMod val="300000"/>
          </a:schemeClr>
        </a:gs>
        <a:gs pos="35000">
          <a:schemeClr val="accent1">
            <a:tint val="37000"/>
            <a:satMod val="300000"/>
          </a:schemeClr>
        </a:gs>
        <a:gs pos="100000">
          <a:schemeClr val="accent1">
            <a:tint val="15000"/>
            <a:satMod val="350000"/>
          </a:schemeClr>
        </a:gs>
      </a:gsLst>
      <a:lin ang="16200000" scaled="1"/>
    </a:gradFill>
    <a:ln w="9525" cap="flat" cmpd="sng" algn="ctr">
      <a:solidFill>
        <a:schemeClr val="accent1">
          <a:shade val="95000"/>
          <a:satMod val="105000"/>
        </a:schemeClr>
      </a:solidFill>
      <a:prstDash val="solid"/>
    </a:ln>
    <a:effectLst>
      <a:outerShdw blurRad="40000" dist="20000" dir="5400000" rotWithShape="0">
        <a:srgbClr val="000000">
          <a:alpha val="38000"/>
        </a:srgbClr>
      </a:outerShdw>
    </a:effectLst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ES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style val="31"/>
  <c:chart>
    <c:title>
      <c:tx>
        <c:rich>
          <a:bodyPr/>
          <a:lstStyle/>
          <a:p>
            <a:pPr>
              <a:defRPr/>
            </a:pPr>
            <a:r>
              <a:rPr lang="es-ES"/>
              <a:t>DEMANDA</a:t>
            </a:r>
          </a:p>
        </c:rich>
      </c:tx>
    </c:title>
    <c:plotArea>
      <c:layout/>
      <c:lineChart>
        <c:grouping val="standard"/>
        <c:ser>
          <c:idx val="0"/>
          <c:order val="0"/>
          <c:cat>
            <c:numRef>
              <c:f>'SENSIBILIDAD (2)'!$D$23:$D$29</c:f>
              <c:numCache>
                <c:formatCode>0%</c:formatCode>
                <c:ptCount val="7"/>
                <c:pt idx="0">
                  <c:v>-0.15</c:v>
                </c:pt>
                <c:pt idx="1">
                  <c:v>-0.1</c:v>
                </c:pt>
                <c:pt idx="2">
                  <c:v>-0.05</c:v>
                </c:pt>
                <c:pt idx="3" formatCode="General">
                  <c:v>0</c:v>
                </c:pt>
                <c:pt idx="4">
                  <c:v>0.05</c:v>
                </c:pt>
                <c:pt idx="5">
                  <c:v>0.1</c:v>
                </c:pt>
                <c:pt idx="6">
                  <c:v>0.15</c:v>
                </c:pt>
              </c:numCache>
            </c:numRef>
          </c:cat>
          <c:val>
            <c:numRef>
              <c:f>'SENSIBILIDAD (2)'!$F$23:$F$29</c:f>
              <c:numCache>
                <c:formatCode>0.00%</c:formatCode>
                <c:ptCount val="7"/>
                <c:pt idx="0">
                  <c:v>0.18736298392837306</c:v>
                </c:pt>
                <c:pt idx="1">
                  <c:v>0.28176710434357843</c:v>
                </c:pt>
                <c:pt idx="2">
                  <c:v>0.37973747602123553</c:v>
                </c:pt>
                <c:pt idx="3">
                  <c:v>0.47757197320145717</c:v>
                </c:pt>
                <c:pt idx="4">
                  <c:v>0.57866344924433555</c:v>
                </c:pt>
                <c:pt idx="5">
                  <c:v>0.6848026362779237</c:v>
                </c:pt>
                <c:pt idx="6">
                  <c:v>0.79530513257253765</c:v>
                </c:pt>
              </c:numCache>
            </c:numRef>
          </c:val>
        </c:ser>
        <c:marker val="1"/>
        <c:axId val="75172864"/>
        <c:axId val="75182848"/>
      </c:lineChart>
      <c:catAx>
        <c:axId val="75172864"/>
        <c:scaling>
          <c:orientation val="minMax"/>
        </c:scaling>
        <c:axPos val="b"/>
        <c:numFmt formatCode="0%" sourceLinked="1"/>
        <c:majorTickMark val="none"/>
        <c:tickLblPos val="nextTo"/>
        <c:crossAx val="75182848"/>
        <c:crosses val="autoZero"/>
        <c:auto val="1"/>
        <c:lblAlgn val="ctr"/>
        <c:lblOffset val="100"/>
      </c:catAx>
      <c:valAx>
        <c:axId val="75182848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ES"/>
                  <a:t>TIR</a:t>
                </a:r>
              </a:p>
            </c:rich>
          </c:tx>
        </c:title>
        <c:numFmt formatCode="0.00%" sourceLinked="1"/>
        <c:majorTickMark val="none"/>
        <c:tickLblPos val="nextTo"/>
        <c:crossAx val="75172864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</c:chart>
  <c:spPr>
    <a:gradFill rotWithShape="1">
      <a:gsLst>
        <a:gs pos="0">
          <a:schemeClr val="accent1">
            <a:tint val="50000"/>
            <a:satMod val="300000"/>
          </a:schemeClr>
        </a:gs>
        <a:gs pos="35000">
          <a:schemeClr val="accent1">
            <a:tint val="37000"/>
            <a:satMod val="300000"/>
          </a:schemeClr>
        </a:gs>
        <a:gs pos="100000">
          <a:schemeClr val="accent1">
            <a:tint val="15000"/>
            <a:satMod val="350000"/>
          </a:schemeClr>
        </a:gs>
      </a:gsLst>
      <a:lin ang="16200000" scaled="1"/>
    </a:gradFill>
    <a:ln w="9525" cap="flat" cmpd="sng" algn="ctr">
      <a:solidFill>
        <a:schemeClr val="accent1">
          <a:shade val="95000"/>
          <a:satMod val="105000"/>
        </a:schemeClr>
      </a:solidFill>
      <a:prstDash val="solid"/>
    </a:ln>
    <a:effectLst>
      <a:outerShdw blurRad="40000" dist="20000" dir="5400000" rotWithShape="0">
        <a:srgbClr val="000000">
          <a:alpha val="38000"/>
        </a:srgbClr>
      </a:outerShdw>
    </a:effectLst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ES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style val="31"/>
  <c:chart>
    <c:title>
      <c:tx>
        <c:rich>
          <a:bodyPr/>
          <a:lstStyle/>
          <a:p>
            <a:pPr>
              <a:defRPr/>
            </a:pPr>
            <a:r>
              <a:rPr lang="es-ES"/>
              <a:t>COSTOS-TOTALES</a:t>
            </a:r>
          </a:p>
        </c:rich>
      </c:tx>
    </c:title>
    <c:plotArea>
      <c:layout/>
      <c:lineChart>
        <c:grouping val="stacked"/>
        <c:ser>
          <c:idx val="0"/>
          <c:order val="0"/>
          <c:cat>
            <c:numRef>
              <c:f>'SENSIBILIDAD (2)'!$D$43:$D$49</c:f>
              <c:numCache>
                <c:formatCode>0%</c:formatCode>
                <c:ptCount val="7"/>
                <c:pt idx="0">
                  <c:v>-0.15</c:v>
                </c:pt>
                <c:pt idx="1">
                  <c:v>-0.1</c:v>
                </c:pt>
                <c:pt idx="2">
                  <c:v>-0.05</c:v>
                </c:pt>
                <c:pt idx="3" formatCode="General">
                  <c:v>0</c:v>
                </c:pt>
                <c:pt idx="4">
                  <c:v>0.05</c:v>
                </c:pt>
                <c:pt idx="5">
                  <c:v>0.1</c:v>
                </c:pt>
                <c:pt idx="6">
                  <c:v>0.15</c:v>
                </c:pt>
              </c:numCache>
            </c:numRef>
          </c:cat>
          <c:val>
            <c:numRef>
              <c:f>'SENSIBILIDAD (2)'!$E$43:$E$49</c:f>
              <c:numCache>
                <c:formatCode>_-[$$-300A]\ * #,##0.00_ ;_-[$$-300A]\ * \-#,##0.00\ ;_-[$$-300A]\ * "-"??_ ;_-@_ </c:formatCode>
                <c:ptCount val="7"/>
                <c:pt idx="0">
                  <c:v>338996.28809273534</c:v>
                </c:pt>
                <c:pt idx="1">
                  <c:v>281773.3592536932</c:v>
                </c:pt>
                <c:pt idx="2">
                  <c:v>223659.12801934595</c:v>
                </c:pt>
                <c:pt idx="3">
                  <c:v>165544.89678499859</c:v>
                </c:pt>
                <c:pt idx="4">
                  <c:v>106114.6257216558</c:v>
                </c:pt>
                <c:pt idx="5">
                  <c:v>42201.649686046672</c:v>
                </c:pt>
                <c:pt idx="6">
                  <c:v>-25175.26842960967</c:v>
                </c:pt>
              </c:numCache>
            </c:numRef>
          </c:val>
        </c:ser>
        <c:marker val="1"/>
        <c:axId val="75216768"/>
        <c:axId val="75218304"/>
      </c:lineChart>
      <c:catAx>
        <c:axId val="75216768"/>
        <c:scaling>
          <c:orientation val="minMax"/>
        </c:scaling>
        <c:axPos val="b"/>
        <c:numFmt formatCode="0%" sourceLinked="1"/>
        <c:majorTickMark val="none"/>
        <c:tickLblPos val="nextTo"/>
        <c:crossAx val="75218304"/>
        <c:crosses val="autoZero"/>
        <c:auto val="1"/>
        <c:lblAlgn val="ctr"/>
        <c:lblOffset val="100"/>
      </c:catAx>
      <c:valAx>
        <c:axId val="75218304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ES"/>
                  <a:t>VAN</a:t>
                </a:r>
              </a:p>
            </c:rich>
          </c:tx>
        </c:title>
        <c:numFmt formatCode="_-[$$-300A]\ * #,##0.00_ ;_-[$$-300A]\ * \-#,##0.00\ ;_-[$$-300A]\ * &quot;-&quot;??_ ;_-@_ " sourceLinked="1"/>
        <c:majorTickMark val="none"/>
        <c:tickLblPos val="nextTo"/>
        <c:crossAx val="75216768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</c:chart>
  <c:spPr>
    <a:gradFill rotWithShape="1">
      <a:gsLst>
        <a:gs pos="0">
          <a:schemeClr val="accent1">
            <a:tint val="50000"/>
            <a:satMod val="300000"/>
          </a:schemeClr>
        </a:gs>
        <a:gs pos="35000">
          <a:schemeClr val="accent1">
            <a:tint val="37000"/>
            <a:satMod val="300000"/>
          </a:schemeClr>
        </a:gs>
        <a:gs pos="100000">
          <a:schemeClr val="accent1">
            <a:tint val="15000"/>
            <a:satMod val="350000"/>
          </a:schemeClr>
        </a:gs>
      </a:gsLst>
      <a:lin ang="16200000" scaled="1"/>
    </a:gradFill>
    <a:ln w="9525" cap="flat" cmpd="sng" algn="ctr">
      <a:solidFill>
        <a:schemeClr val="accent1">
          <a:shade val="95000"/>
          <a:satMod val="105000"/>
        </a:schemeClr>
      </a:solidFill>
      <a:prstDash val="solid"/>
    </a:ln>
    <a:effectLst>
      <a:outerShdw blurRad="40000" dist="20000" dir="5400000" rotWithShape="0">
        <a:srgbClr val="000000">
          <a:alpha val="38000"/>
        </a:srgbClr>
      </a:outerShdw>
    </a:effectLst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ES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style val="31"/>
  <c:chart>
    <c:title>
      <c:tx>
        <c:rich>
          <a:bodyPr/>
          <a:lstStyle/>
          <a:p>
            <a:pPr>
              <a:defRPr/>
            </a:pPr>
            <a:r>
              <a:rPr lang="es-ES"/>
              <a:t>COSTOS-TOTALES</a:t>
            </a:r>
          </a:p>
        </c:rich>
      </c:tx>
    </c:title>
    <c:plotArea>
      <c:layout/>
      <c:lineChart>
        <c:grouping val="stacked"/>
        <c:ser>
          <c:idx val="0"/>
          <c:order val="0"/>
          <c:cat>
            <c:numRef>
              <c:f>'SENSIBILIDAD (2)'!$D$43:$D$49</c:f>
              <c:numCache>
                <c:formatCode>0%</c:formatCode>
                <c:ptCount val="7"/>
                <c:pt idx="0">
                  <c:v>-0.15</c:v>
                </c:pt>
                <c:pt idx="1">
                  <c:v>-0.1</c:v>
                </c:pt>
                <c:pt idx="2">
                  <c:v>-0.05</c:v>
                </c:pt>
                <c:pt idx="3" formatCode="General">
                  <c:v>0</c:v>
                </c:pt>
                <c:pt idx="4">
                  <c:v>0.05</c:v>
                </c:pt>
                <c:pt idx="5">
                  <c:v>0.1</c:v>
                </c:pt>
                <c:pt idx="6">
                  <c:v>0.15</c:v>
                </c:pt>
              </c:numCache>
            </c:numRef>
          </c:cat>
          <c:val>
            <c:numRef>
              <c:f>'SENSIBILIDAD (2)'!$F$43:$F$49</c:f>
              <c:numCache>
                <c:formatCode>0.00%</c:formatCode>
                <c:ptCount val="7"/>
                <c:pt idx="0">
                  <c:v>0.85043047133250749</c:v>
                </c:pt>
                <c:pt idx="1">
                  <c:v>0.71896065581566904</c:v>
                </c:pt>
                <c:pt idx="2">
                  <c:v>0.59253421248959404</c:v>
                </c:pt>
                <c:pt idx="3">
                  <c:v>0.47757197320145717</c:v>
                </c:pt>
                <c:pt idx="4">
                  <c:v>0.37098402008534132</c:v>
                </c:pt>
                <c:pt idx="5">
                  <c:v>0.26902858560405685</c:v>
                </c:pt>
                <c:pt idx="6">
                  <c:v>0.17765682402294403</c:v>
                </c:pt>
              </c:numCache>
            </c:numRef>
          </c:val>
        </c:ser>
        <c:marker val="1"/>
        <c:axId val="75232000"/>
        <c:axId val="75233536"/>
      </c:lineChart>
      <c:catAx>
        <c:axId val="75232000"/>
        <c:scaling>
          <c:orientation val="minMax"/>
        </c:scaling>
        <c:axPos val="b"/>
        <c:numFmt formatCode="0%" sourceLinked="1"/>
        <c:majorTickMark val="none"/>
        <c:tickLblPos val="nextTo"/>
        <c:crossAx val="75233536"/>
        <c:crosses val="autoZero"/>
        <c:auto val="1"/>
        <c:lblAlgn val="ctr"/>
        <c:lblOffset val="100"/>
      </c:catAx>
      <c:valAx>
        <c:axId val="75233536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ES"/>
                  <a:t>TIR</a:t>
                </a:r>
              </a:p>
            </c:rich>
          </c:tx>
        </c:title>
        <c:numFmt formatCode="0.00%" sourceLinked="1"/>
        <c:majorTickMark val="none"/>
        <c:tickLblPos val="nextTo"/>
        <c:crossAx val="75232000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</c:chart>
  <c:spPr>
    <a:gradFill rotWithShape="1">
      <a:gsLst>
        <a:gs pos="0">
          <a:schemeClr val="accent1">
            <a:tint val="50000"/>
            <a:satMod val="300000"/>
          </a:schemeClr>
        </a:gs>
        <a:gs pos="35000">
          <a:schemeClr val="accent1">
            <a:tint val="37000"/>
            <a:satMod val="300000"/>
          </a:schemeClr>
        </a:gs>
        <a:gs pos="100000">
          <a:schemeClr val="accent1">
            <a:tint val="15000"/>
            <a:satMod val="350000"/>
          </a:schemeClr>
        </a:gs>
      </a:gsLst>
      <a:lin ang="16200000" scaled="1"/>
    </a:gradFill>
    <a:ln w="9525" cap="flat" cmpd="sng" algn="ctr">
      <a:solidFill>
        <a:schemeClr val="accent1">
          <a:shade val="95000"/>
          <a:satMod val="105000"/>
        </a:schemeClr>
      </a:solidFill>
      <a:prstDash val="solid"/>
    </a:ln>
    <a:effectLst>
      <a:outerShdw blurRad="40000" dist="20000" dir="5400000" rotWithShape="0">
        <a:srgbClr val="000000">
          <a:alpha val="38000"/>
        </a:srgbClr>
      </a:outerShdw>
    </a:effectLst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ES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126999</xdr:colOff>
      <xdr:row>2</xdr:row>
      <xdr:rowOff>15875</xdr:rowOff>
    </xdr:from>
    <xdr:to>
      <xdr:col>14</xdr:col>
      <xdr:colOff>47625</xdr:colOff>
      <xdr:row>16</xdr:row>
      <xdr:rowOff>127000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142875</xdr:colOff>
      <xdr:row>2</xdr:row>
      <xdr:rowOff>31750</xdr:rowOff>
    </xdr:from>
    <xdr:to>
      <xdr:col>23</xdr:col>
      <xdr:colOff>111125</xdr:colOff>
      <xdr:row>16</xdr:row>
      <xdr:rowOff>158750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190500</xdr:colOff>
      <xdr:row>19</xdr:row>
      <xdr:rowOff>79375</xdr:rowOff>
    </xdr:from>
    <xdr:to>
      <xdr:col>14</xdr:col>
      <xdr:colOff>31750</xdr:colOff>
      <xdr:row>37</xdr:row>
      <xdr:rowOff>0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158749</xdr:colOff>
      <xdr:row>19</xdr:row>
      <xdr:rowOff>111125</xdr:rowOff>
    </xdr:from>
    <xdr:to>
      <xdr:col>23</xdr:col>
      <xdr:colOff>111124</xdr:colOff>
      <xdr:row>37</xdr:row>
      <xdr:rowOff>15875</xdr:rowOff>
    </xdr:to>
    <xdr:graphicFrame macro="">
      <xdr:nvGraphicFramePr>
        <xdr:cNvPr id="6" name="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206375</xdr:colOff>
      <xdr:row>39</xdr:row>
      <xdr:rowOff>47625</xdr:rowOff>
    </xdr:from>
    <xdr:to>
      <xdr:col>14</xdr:col>
      <xdr:colOff>15875</xdr:colOff>
      <xdr:row>55</xdr:row>
      <xdr:rowOff>190500</xdr:rowOff>
    </xdr:to>
    <xdr:graphicFrame macro="">
      <xdr:nvGraphicFramePr>
        <xdr:cNvPr id="7" name="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14</xdr:col>
      <xdr:colOff>158750</xdr:colOff>
      <xdr:row>39</xdr:row>
      <xdr:rowOff>63500</xdr:rowOff>
    </xdr:from>
    <xdr:to>
      <xdr:col>23</xdr:col>
      <xdr:colOff>127000</xdr:colOff>
      <xdr:row>55</xdr:row>
      <xdr:rowOff>190500</xdr:rowOff>
    </xdr:to>
    <xdr:graphicFrame macro="">
      <xdr:nvGraphicFramePr>
        <xdr:cNvPr id="8" name="7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larv_corp\Desktop\proyecto\extra\snacks%20papas%20Estudio%20financiero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~1/PERRIN~1/CONFIG~1/Temp/GIG%20DEMAND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BALANCE DE ACTIVOS Y MAQUINARIA"/>
      <sheetName val="BALANCE DE PERSONAL"/>
      <sheetName val="BALANCE DE OBRAS FISICAS"/>
      <sheetName val="REINVERSION DE ACTIVOS"/>
      <sheetName val="DEMANDA"/>
      <sheetName val="Costos de Prod."/>
      <sheetName val="DEPRECIACION"/>
      <sheetName val="CAPITAL DE TRABAJO"/>
      <sheetName val="FLUJO DE CAJA"/>
      <sheetName val="PAY BACK"/>
      <sheetName val="SENSIBILIDAD"/>
      <sheetName val="CB_DATA_"/>
      <sheetName val="Análisis de sensibilida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9">
          <cell r="C9">
            <v>0.28000000000000003</v>
          </cell>
        </row>
        <row r="56">
          <cell r="C56">
            <v>10614658.594176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ROY. DEMAND"/>
      <sheetName val="estimacion de demanda"/>
      <sheetName val="DEMANDA PROYECTADA"/>
      <sheetName val="amazadora"/>
      <sheetName val="Tamaño de la planta"/>
      <sheetName val="Tamaño de la planta (2)"/>
      <sheetName val="Hoja1"/>
    </sheetNames>
    <sheetDataSet>
      <sheetData sheetId="0">
        <row r="12">
          <cell r="F12">
            <v>4504.0548911400001</v>
          </cell>
        </row>
      </sheetData>
      <sheetData sheetId="1"/>
      <sheetData sheetId="2">
        <row r="5">
          <cell r="C5">
            <v>4504.0548911400001</v>
          </cell>
        </row>
        <row r="6">
          <cell r="C6">
            <v>1621459.7608104001</v>
          </cell>
        </row>
      </sheetData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4"/>
  </sheetPr>
  <dimension ref="A1:G24"/>
  <sheetViews>
    <sheetView topLeftCell="A11" workbookViewId="0">
      <selection activeCell="C3" sqref="C3"/>
    </sheetView>
  </sheetViews>
  <sheetFormatPr baseColWidth="10" defaultRowHeight="15"/>
  <cols>
    <col min="1" max="1" width="34.7109375" customWidth="1"/>
    <col min="2" max="2" width="21" customWidth="1"/>
    <col min="4" max="4" width="16" customWidth="1"/>
    <col min="5" max="5" width="13.42578125" customWidth="1"/>
    <col min="6" max="6" width="11.7109375" bestFit="1" customWidth="1"/>
    <col min="7" max="7" width="12.7109375" customWidth="1"/>
  </cols>
  <sheetData>
    <row r="1" spans="1:5">
      <c r="A1" s="359" t="s">
        <v>0</v>
      </c>
      <c r="B1" s="359"/>
      <c r="C1" s="359"/>
    </row>
    <row r="2" spans="1:5">
      <c r="A2" s="226" t="s">
        <v>1</v>
      </c>
      <c r="B2" s="226" t="s">
        <v>2</v>
      </c>
      <c r="C2" s="226" t="s">
        <v>3</v>
      </c>
    </row>
    <row r="3" spans="1:5">
      <c r="A3" s="2" t="s">
        <v>7</v>
      </c>
      <c r="B3" s="2" t="s">
        <v>6</v>
      </c>
      <c r="C3" s="3">
        <v>400</v>
      </c>
      <c r="D3" s="1"/>
    </row>
    <row r="4" spans="1:5">
      <c r="A4" s="2" t="s">
        <v>266</v>
      </c>
      <c r="B4" s="2" t="s">
        <v>6</v>
      </c>
      <c r="C4" s="3">
        <v>100</v>
      </c>
    </row>
    <row r="5" spans="1:5">
      <c r="A5" s="2" t="s">
        <v>10</v>
      </c>
      <c r="B5" s="2" t="s">
        <v>43</v>
      </c>
      <c r="C5" s="3">
        <v>10</v>
      </c>
    </row>
    <row r="6" spans="1:5">
      <c r="A6" s="2" t="s">
        <v>11</v>
      </c>
      <c r="B6" s="2" t="s">
        <v>9</v>
      </c>
      <c r="C6" s="3">
        <v>1</v>
      </c>
    </row>
    <row r="7" spans="1:5">
      <c r="A7" s="2" t="s">
        <v>41</v>
      </c>
      <c r="B7" s="2" t="s">
        <v>43</v>
      </c>
      <c r="C7" s="3">
        <v>7</v>
      </c>
    </row>
    <row r="8" spans="1:5">
      <c r="A8" s="360" t="s">
        <v>42</v>
      </c>
      <c r="B8" s="2" t="s">
        <v>44</v>
      </c>
      <c r="C8" s="3">
        <v>35</v>
      </c>
    </row>
    <row r="9" spans="1:5">
      <c r="A9" s="360"/>
      <c r="B9" s="2" t="s">
        <v>45</v>
      </c>
      <c r="C9" s="3">
        <v>35</v>
      </c>
    </row>
    <row r="10" spans="1:5">
      <c r="A10" s="360"/>
      <c r="B10" s="2" t="s">
        <v>46</v>
      </c>
      <c r="C10" s="3">
        <v>2</v>
      </c>
    </row>
    <row r="11" spans="1:5">
      <c r="A11" s="2" t="s">
        <v>8</v>
      </c>
      <c r="B11" s="2" t="s">
        <v>6</v>
      </c>
      <c r="C11" s="3">
        <v>20</v>
      </c>
    </row>
    <row r="13" spans="1:5">
      <c r="A13" s="359" t="s">
        <v>0</v>
      </c>
      <c r="B13" s="359"/>
      <c r="C13" s="359"/>
      <c r="D13" s="359"/>
      <c r="E13" s="359"/>
    </row>
    <row r="14" spans="1:5">
      <c r="A14" s="226" t="s">
        <v>1</v>
      </c>
      <c r="B14" s="226" t="s">
        <v>2</v>
      </c>
      <c r="C14" s="226" t="s">
        <v>3</v>
      </c>
      <c r="D14" s="226" t="s">
        <v>4</v>
      </c>
      <c r="E14" s="226" t="s">
        <v>5</v>
      </c>
    </row>
    <row r="15" spans="1:5">
      <c r="A15" s="2" t="s">
        <v>7</v>
      </c>
      <c r="B15" s="2" t="s">
        <v>6</v>
      </c>
      <c r="C15" s="143">
        <v>600</v>
      </c>
      <c r="D15" s="4">
        <v>40</v>
      </c>
      <c r="E15" s="4">
        <f>C15*D15</f>
        <v>24000</v>
      </c>
    </row>
    <row r="16" spans="1:5">
      <c r="A16" s="2" t="s">
        <v>266</v>
      </c>
      <c r="B16" s="2" t="s">
        <v>6</v>
      </c>
      <c r="C16" s="143">
        <v>100</v>
      </c>
      <c r="D16" s="4">
        <v>100</v>
      </c>
      <c r="E16" s="4">
        <f>C16*D16</f>
        <v>10000</v>
      </c>
    </row>
    <row r="17" spans="1:7">
      <c r="A17" s="2" t="s">
        <v>10</v>
      </c>
      <c r="B17" s="2" t="s">
        <v>43</v>
      </c>
      <c r="C17" s="143">
        <v>10</v>
      </c>
      <c r="D17" s="4">
        <v>75</v>
      </c>
      <c r="E17" s="4">
        <f t="shared" ref="E17:E23" si="0">C17*D17</f>
        <v>750</v>
      </c>
    </row>
    <row r="18" spans="1:7">
      <c r="A18" s="2" t="s">
        <v>11</v>
      </c>
      <c r="B18" s="2" t="s">
        <v>9</v>
      </c>
      <c r="C18" s="143">
        <v>4</v>
      </c>
      <c r="D18" s="4">
        <v>250</v>
      </c>
      <c r="E18" s="4">
        <f t="shared" si="0"/>
        <v>1000</v>
      </c>
    </row>
    <row r="19" spans="1:7">
      <c r="A19" s="2" t="s">
        <v>41</v>
      </c>
      <c r="B19" s="2" t="s">
        <v>43</v>
      </c>
      <c r="C19" s="143">
        <v>12</v>
      </c>
      <c r="D19" s="4">
        <v>300</v>
      </c>
      <c r="E19" s="4">
        <f t="shared" si="0"/>
        <v>3600</v>
      </c>
    </row>
    <row r="20" spans="1:7">
      <c r="A20" s="361" t="s">
        <v>42</v>
      </c>
      <c r="B20" s="2" t="s">
        <v>44</v>
      </c>
      <c r="C20" s="143">
        <v>40</v>
      </c>
      <c r="D20" s="4">
        <v>100</v>
      </c>
      <c r="E20" s="4">
        <f t="shared" si="0"/>
        <v>4000</v>
      </c>
    </row>
    <row r="21" spans="1:7">
      <c r="A21" s="362"/>
      <c r="B21" s="2" t="s">
        <v>45</v>
      </c>
      <c r="C21" s="143">
        <v>45</v>
      </c>
      <c r="D21" s="4">
        <v>90</v>
      </c>
      <c r="E21" s="4">
        <f t="shared" si="0"/>
        <v>4050</v>
      </c>
    </row>
    <row r="22" spans="1:7">
      <c r="A22" s="363"/>
      <c r="B22" s="2" t="s">
        <v>46</v>
      </c>
      <c r="C22" s="143">
        <v>4</v>
      </c>
      <c r="D22" s="4">
        <v>500</v>
      </c>
      <c r="E22" s="4">
        <f t="shared" si="0"/>
        <v>2000</v>
      </c>
    </row>
    <row r="23" spans="1:7">
      <c r="A23" s="2" t="s">
        <v>8</v>
      </c>
      <c r="B23" s="2" t="s">
        <v>6</v>
      </c>
      <c r="C23" s="143">
        <v>20</v>
      </c>
      <c r="D23" s="6">
        <v>250</v>
      </c>
      <c r="E23" s="4">
        <f t="shared" si="0"/>
        <v>5000</v>
      </c>
      <c r="F23" s="24">
        <f>SUM(E16:E23)</f>
        <v>30400</v>
      </c>
      <c r="G23" s="24"/>
    </row>
    <row r="24" spans="1:7">
      <c r="E24" s="4">
        <f>SUM(E15:E23)</f>
        <v>54400</v>
      </c>
    </row>
  </sheetData>
  <mergeCells count="4">
    <mergeCell ref="A1:C1"/>
    <mergeCell ref="A13:E13"/>
    <mergeCell ref="A8:A10"/>
    <mergeCell ref="A20:A22"/>
  </mergeCells>
  <pageMargins left="0.7" right="0.7" top="0.75" bottom="0.75" header="0.3" footer="0.3"/>
  <pageSetup paperSize="9" orientation="portrait" horizontalDpi="30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K130"/>
  <sheetViews>
    <sheetView zoomScale="87" zoomScaleNormal="87" workbookViewId="0">
      <selection activeCell="E2" sqref="E2"/>
    </sheetView>
  </sheetViews>
  <sheetFormatPr baseColWidth="10" defaultRowHeight="15"/>
  <cols>
    <col min="1" max="1" width="17.85546875" customWidth="1"/>
    <col min="3" max="3" width="16.85546875" customWidth="1"/>
    <col min="4" max="4" width="18.5703125" customWidth="1"/>
    <col min="5" max="5" width="21.7109375" style="32" customWidth="1"/>
    <col min="6" max="6" width="18.5703125" customWidth="1"/>
    <col min="7" max="7" width="17" customWidth="1"/>
    <col min="9" max="9" width="16.42578125" customWidth="1"/>
    <col min="10" max="10" width="15.5703125" customWidth="1"/>
    <col min="11" max="11" width="16.140625" customWidth="1"/>
  </cols>
  <sheetData>
    <row r="1" spans="1:11">
      <c r="A1" s="417" t="s">
        <v>160</v>
      </c>
      <c r="B1" s="417"/>
      <c r="C1" s="417"/>
      <c r="E1" s="90" t="s">
        <v>169</v>
      </c>
      <c r="F1" s="90" t="s">
        <v>170</v>
      </c>
      <c r="G1" s="90" t="s">
        <v>63</v>
      </c>
      <c r="I1" s="61" t="s">
        <v>243</v>
      </c>
      <c r="J1" s="93">
        <v>0.11</v>
      </c>
      <c r="K1" s="32" t="s">
        <v>292</v>
      </c>
    </row>
    <row r="2" spans="1:11">
      <c r="A2" s="416" t="s">
        <v>161</v>
      </c>
      <c r="B2" s="43">
        <v>0.6</v>
      </c>
      <c r="C2" s="11" t="s">
        <v>162</v>
      </c>
      <c r="D2" s="32"/>
      <c r="E2" s="91">
        <f>G2*B2</f>
        <v>128507.97245663748</v>
      </c>
      <c r="F2" s="91">
        <f>G2*B3</f>
        <v>85671.981637758319</v>
      </c>
      <c r="G2" s="91">
        <f>'total inversión inicial'!B6</f>
        <v>214179.9540943958</v>
      </c>
      <c r="I2" s="12" t="s">
        <v>171</v>
      </c>
      <c r="J2" s="7">
        <v>10</v>
      </c>
    </row>
    <row r="3" spans="1:11">
      <c r="A3" s="416"/>
      <c r="B3" s="43">
        <v>0.4</v>
      </c>
      <c r="C3" s="11" t="s">
        <v>163</v>
      </c>
      <c r="I3" s="12" t="s">
        <v>172</v>
      </c>
      <c r="J3" s="94">
        <f>E2</f>
        <v>128507.97245663748</v>
      </c>
    </row>
    <row r="4" spans="1:11">
      <c r="A4" s="32"/>
      <c r="B4" s="31"/>
      <c r="I4" s="12" t="s">
        <v>173</v>
      </c>
      <c r="J4" s="94">
        <f>PMT(J1,J2,-J3)</f>
        <v>21820.837116542014</v>
      </c>
    </row>
    <row r="5" spans="1:11">
      <c r="E5" s="420" t="s">
        <v>294</v>
      </c>
      <c r="F5" s="420"/>
      <c r="G5" s="347">
        <f>F2/3</f>
        <v>28557.327212586108</v>
      </c>
    </row>
    <row r="7" spans="1:11">
      <c r="A7" s="418" t="s">
        <v>245</v>
      </c>
      <c r="B7" s="418"/>
      <c r="C7" s="418"/>
      <c r="D7" s="418"/>
      <c r="E7" s="418"/>
    </row>
    <row r="8" spans="1:11">
      <c r="A8" s="12" t="s">
        <v>164</v>
      </c>
      <c r="B8" s="12" t="s">
        <v>165</v>
      </c>
      <c r="C8" s="12" t="s">
        <v>166</v>
      </c>
      <c r="D8" s="12" t="s">
        <v>167</v>
      </c>
      <c r="E8" s="12" t="s">
        <v>168</v>
      </c>
      <c r="G8" s="127"/>
      <c r="I8" s="128" t="s">
        <v>243</v>
      </c>
      <c r="J8" s="93">
        <v>0.11</v>
      </c>
    </row>
    <row r="9" spans="1:11">
      <c r="A9" s="2">
        <v>0</v>
      </c>
      <c r="B9" s="2"/>
      <c r="C9" s="2"/>
      <c r="D9" s="2"/>
      <c r="E9" s="46">
        <f>E2</f>
        <v>128507.97245663748</v>
      </c>
      <c r="I9" s="12" t="s">
        <v>244</v>
      </c>
      <c r="J9" s="93">
        <f>J1/12</f>
        <v>9.1666666666666667E-3</v>
      </c>
    </row>
    <row r="10" spans="1:11">
      <c r="A10" s="2">
        <v>1</v>
      </c>
      <c r="B10" s="46">
        <f t="shared" ref="B10:B41" si="0">$J$11</f>
        <v>1770.197465700378</v>
      </c>
      <c r="C10" s="48">
        <f t="shared" ref="C10:C41" si="1">E9*$J$9</f>
        <v>1177.9897475191769</v>
      </c>
      <c r="D10" s="48">
        <f>B10-C10</f>
        <v>592.20771818120102</v>
      </c>
      <c r="E10" s="48">
        <f>E9-D10</f>
        <v>127915.76473845627</v>
      </c>
      <c r="I10" s="12" t="s">
        <v>171</v>
      </c>
      <c r="J10" s="132">
        <v>120</v>
      </c>
    </row>
    <row r="11" spans="1:11">
      <c r="A11" s="2">
        <v>2</v>
      </c>
      <c r="B11" s="46">
        <f t="shared" si="0"/>
        <v>1770.197465700378</v>
      </c>
      <c r="C11" s="48">
        <f t="shared" si="1"/>
        <v>1172.5611767691826</v>
      </c>
      <c r="D11" s="48">
        <f>B11-C11</f>
        <v>597.63628893119539</v>
      </c>
      <c r="E11" s="48">
        <f>E10-D11</f>
        <v>127318.12844952507</v>
      </c>
      <c r="I11" s="12" t="s">
        <v>173</v>
      </c>
      <c r="J11" s="94">
        <f>PMT(J9,120,-E2)</f>
        <v>1770.197465700378</v>
      </c>
    </row>
    <row r="12" spans="1:11">
      <c r="A12" s="2">
        <v>3</v>
      </c>
      <c r="B12" s="46">
        <f t="shared" si="0"/>
        <v>1770.197465700378</v>
      </c>
      <c r="C12" s="48">
        <f t="shared" si="1"/>
        <v>1167.0828441206465</v>
      </c>
      <c r="D12" s="48">
        <f t="shared" ref="D12:D21" si="2">B12-C12</f>
        <v>603.11462157973142</v>
      </c>
      <c r="E12" s="48">
        <f t="shared" ref="E12:E21" si="3">E11-D12</f>
        <v>126715.01382794534</v>
      </c>
      <c r="I12" s="12" t="s">
        <v>172</v>
      </c>
      <c r="J12" s="94">
        <f>E11</f>
        <v>127318.12844952507</v>
      </c>
    </row>
    <row r="13" spans="1:11">
      <c r="A13" s="2">
        <v>4</v>
      </c>
      <c r="B13" s="46">
        <f t="shared" si="0"/>
        <v>1770.197465700378</v>
      </c>
      <c r="C13" s="48">
        <f t="shared" si="1"/>
        <v>1161.5542934228322</v>
      </c>
      <c r="D13" s="48">
        <f t="shared" si="2"/>
        <v>608.64317227754577</v>
      </c>
      <c r="E13" s="48">
        <f t="shared" si="3"/>
        <v>126106.37065566779</v>
      </c>
    </row>
    <row r="14" spans="1:11">
      <c r="A14" s="2">
        <v>5</v>
      </c>
      <c r="B14" s="46">
        <f t="shared" si="0"/>
        <v>1770.197465700378</v>
      </c>
      <c r="C14" s="48">
        <f t="shared" si="1"/>
        <v>1155.9750643436214</v>
      </c>
      <c r="D14" s="48">
        <f t="shared" si="2"/>
        <v>614.22240135675656</v>
      </c>
      <c r="E14" s="48">
        <f t="shared" si="3"/>
        <v>125492.14825431103</v>
      </c>
    </row>
    <row r="15" spans="1:11">
      <c r="A15" s="2">
        <v>6</v>
      </c>
      <c r="B15" s="46">
        <f t="shared" si="0"/>
        <v>1770.197465700378</v>
      </c>
      <c r="C15" s="48">
        <f t="shared" si="1"/>
        <v>1150.3446923311844</v>
      </c>
      <c r="D15" s="48">
        <f t="shared" si="2"/>
        <v>619.85277336919353</v>
      </c>
      <c r="E15" s="48">
        <f t="shared" si="3"/>
        <v>124872.29548094184</v>
      </c>
    </row>
    <row r="16" spans="1:11">
      <c r="A16" s="2">
        <v>7</v>
      </c>
      <c r="B16" s="46">
        <f t="shared" si="0"/>
        <v>1770.197465700378</v>
      </c>
      <c r="C16" s="48">
        <f t="shared" si="1"/>
        <v>1144.6627085753003</v>
      </c>
      <c r="D16" s="48">
        <f t="shared" si="2"/>
        <v>625.5347571250777</v>
      </c>
      <c r="E16" s="48">
        <f t="shared" si="3"/>
        <v>124246.76072381677</v>
      </c>
    </row>
    <row r="17" spans="1:11">
      <c r="A17" s="2">
        <v>8</v>
      </c>
      <c r="B17" s="46">
        <f t="shared" si="0"/>
        <v>1770.197465700378</v>
      </c>
      <c r="C17" s="48">
        <f t="shared" si="1"/>
        <v>1138.9286399683203</v>
      </c>
      <c r="D17" s="48">
        <f t="shared" si="2"/>
        <v>631.26882573205762</v>
      </c>
      <c r="E17" s="48">
        <f t="shared" si="3"/>
        <v>123615.49189808471</v>
      </c>
    </row>
    <row r="18" spans="1:11">
      <c r="A18" s="2">
        <v>9</v>
      </c>
      <c r="B18" s="46">
        <f t="shared" si="0"/>
        <v>1770.197465700378</v>
      </c>
      <c r="C18" s="48">
        <f t="shared" si="1"/>
        <v>1133.1420090657766</v>
      </c>
      <c r="D18" s="48">
        <f t="shared" si="2"/>
        <v>637.05545663460134</v>
      </c>
      <c r="E18" s="48">
        <f t="shared" si="3"/>
        <v>122978.43644145012</v>
      </c>
    </row>
    <row r="19" spans="1:11">
      <c r="A19" s="2">
        <v>10</v>
      </c>
      <c r="B19" s="46">
        <f t="shared" si="0"/>
        <v>1770.197465700378</v>
      </c>
      <c r="C19" s="48">
        <f t="shared" si="1"/>
        <v>1127.3023340466261</v>
      </c>
      <c r="D19" s="48">
        <f t="shared" si="2"/>
        <v>642.89513165375183</v>
      </c>
      <c r="E19" s="48">
        <f t="shared" si="3"/>
        <v>122335.54130979636</v>
      </c>
    </row>
    <row r="20" spans="1:11">
      <c r="A20" s="2">
        <v>11</v>
      </c>
      <c r="B20" s="46">
        <f t="shared" si="0"/>
        <v>1770.197465700378</v>
      </c>
      <c r="C20" s="48">
        <f t="shared" si="1"/>
        <v>1121.4091286731334</v>
      </c>
      <c r="D20" s="48">
        <f t="shared" si="2"/>
        <v>648.78833702724455</v>
      </c>
      <c r="E20" s="48">
        <f t="shared" si="3"/>
        <v>121686.75297276911</v>
      </c>
    </row>
    <row r="21" spans="1:11">
      <c r="A21" s="2">
        <v>12</v>
      </c>
      <c r="B21" s="46">
        <f t="shared" si="0"/>
        <v>1770.197465700378</v>
      </c>
      <c r="C21" s="48">
        <f t="shared" si="1"/>
        <v>1115.4619022503834</v>
      </c>
      <c r="D21" s="48">
        <f t="shared" si="2"/>
        <v>654.73556344999452</v>
      </c>
      <c r="E21" s="48">
        <f t="shared" si="3"/>
        <v>121032.01740931912</v>
      </c>
    </row>
    <row r="22" spans="1:11">
      <c r="A22" s="2">
        <v>13</v>
      </c>
      <c r="B22" s="46">
        <f t="shared" si="0"/>
        <v>1770.197465700378</v>
      </c>
      <c r="C22" s="48">
        <f t="shared" si="1"/>
        <v>1109.4601595854253</v>
      </c>
      <c r="D22" s="48">
        <f t="shared" ref="D22:D24" si="4">B22-C22</f>
        <v>660.73730611495262</v>
      </c>
      <c r="E22" s="48">
        <f t="shared" ref="E22:E24" si="5">E21-D22</f>
        <v>120371.28010320416</v>
      </c>
    </row>
    <row r="23" spans="1:11">
      <c r="A23" s="2">
        <v>14</v>
      </c>
      <c r="B23" s="46">
        <f t="shared" si="0"/>
        <v>1770.197465700378</v>
      </c>
      <c r="C23" s="48">
        <f t="shared" si="1"/>
        <v>1103.4034009460381</v>
      </c>
      <c r="D23" s="48">
        <f t="shared" si="4"/>
        <v>666.79406475433984</v>
      </c>
      <c r="E23" s="48">
        <f t="shared" si="5"/>
        <v>119704.48603844982</v>
      </c>
    </row>
    <row r="24" spans="1:11">
      <c r="A24" s="2">
        <v>15</v>
      </c>
      <c r="B24" s="46">
        <f t="shared" si="0"/>
        <v>1770.197465700378</v>
      </c>
      <c r="C24" s="48">
        <f t="shared" si="1"/>
        <v>1097.2911220191233</v>
      </c>
      <c r="D24" s="48">
        <f t="shared" si="4"/>
        <v>672.90634368125461</v>
      </c>
      <c r="E24" s="48">
        <f t="shared" si="5"/>
        <v>119031.57969476856</v>
      </c>
    </row>
    <row r="25" spans="1:11">
      <c r="A25" s="2">
        <v>16</v>
      </c>
      <c r="B25" s="46">
        <f t="shared" si="0"/>
        <v>1770.197465700378</v>
      </c>
      <c r="C25" s="48">
        <f t="shared" si="1"/>
        <v>1091.1228138687118</v>
      </c>
      <c r="D25" s="48">
        <f t="shared" ref="D25:D88" si="6">B25-C25</f>
        <v>679.07465183166619</v>
      </c>
      <c r="E25" s="48">
        <f t="shared" ref="E25:E88" si="7">E24-D25</f>
        <v>118352.5050429369</v>
      </c>
    </row>
    <row r="26" spans="1:11">
      <c r="A26" s="2">
        <v>17</v>
      </c>
      <c r="B26" s="46">
        <f t="shared" si="0"/>
        <v>1770.197465700378</v>
      </c>
      <c r="C26" s="48">
        <f t="shared" si="1"/>
        <v>1084.8979628935883</v>
      </c>
      <c r="D26" s="48">
        <f t="shared" si="6"/>
        <v>685.29950280678963</v>
      </c>
      <c r="E26" s="48">
        <f t="shared" si="7"/>
        <v>117667.2055401301</v>
      </c>
      <c r="F26" s="127"/>
      <c r="G26" s="127"/>
    </row>
    <row r="27" spans="1:11">
      <c r="A27" s="2">
        <v>18</v>
      </c>
      <c r="B27" s="46">
        <f t="shared" si="0"/>
        <v>1770.197465700378</v>
      </c>
      <c r="C27" s="48">
        <f t="shared" si="1"/>
        <v>1078.6160507845259</v>
      </c>
      <c r="D27" s="48">
        <f t="shared" si="6"/>
        <v>691.58141491585206</v>
      </c>
      <c r="E27" s="48">
        <f t="shared" si="7"/>
        <v>116975.62412521425</v>
      </c>
    </row>
    <row r="28" spans="1:11">
      <c r="A28" s="2">
        <v>19</v>
      </c>
      <c r="B28" s="46">
        <f t="shared" si="0"/>
        <v>1770.197465700378</v>
      </c>
      <c r="C28" s="48">
        <f t="shared" si="1"/>
        <v>1072.2765544811307</v>
      </c>
      <c r="D28" s="48">
        <f t="shared" si="6"/>
        <v>697.92091121924727</v>
      </c>
      <c r="E28" s="48">
        <f t="shared" si="7"/>
        <v>116277.703213995</v>
      </c>
    </row>
    <row r="29" spans="1:11">
      <c r="A29" s="2">
        <v>20</v>
      </c>
      <c r="B29" s="46">
        <f t="shared" si="0"/>
        <v>1770.197465700378</v>
      </c>
      <c r="C29" s="48">
        <f t="shared" si="1"/>
        <v>1065.8789461282875</v>
      </c>
      <c r="D29" s="48">
        <f t="shared" si="6"/>
        <v>704.31851957209051</v>
      </c>
      <c r="E29" s="48">
        <f t="shared" si="7"/>
        <v>115573.38469442292</v>
      </c>
    </row>
    <row r="30" spans="1:11">
      <c r="A30" s="2">
        <v>21</v>
      </c>
      <c r="B30" s="46">
        <f t="shared" si="0"/>
        <v>1770.197465700378</v>
      </c>
      <c r="C30" s="48">
        <f t="shared" si="1"/>
        <v>1059.42269303221</v>
      </c>
      <c r="D30" s="48">
        <f t="shared" si="6"/>
        <v>710.774772668168</v>
      </c>
      <c r="E30" s="48">
        <f t="shared" si="7"/>
        <v>114862.60992175475</v>
      </c>
      <c r="G30" s="419" t="s">
        <v>246</v>
      </c>
      <c r="H30" s="419"/>
      <c r="I30" s="419"/>
      <c r="J30" s="419"/>
      <c r="K30" s="419"/>
    </row>
    <row r="31" spans="1:11">
      <c r="A31" s="2">
        <v>22</v>
      </c>
      <c r="B31" s="46">
        <f t="shared" si="0"/>
        <v>1770.197465700378</v>
      </c>
      <c r="C31" s="48">
        <f t="shared" si="1"/>
        <v>1052.9072576160852</v>
      </c>
      <c r="D31" s="48">
        <f t="shared" si="6"/>
        <v>717.29020808429277</v>
      </c>
      <c r="E31" s="48">
        <f t="shared" si="7"/>
        <v>114145.31971367045</v>
      </c>
      <c r="G31" s="12" t="s">
        <v>164</v>
      </c>
      <c r="H31" s="12" t="s">
        <v>165</v>
      </c>
      <c r="I31" s="12" t="s">
        <v>166</v>
      </c>
      <c r="J31" s="12" t="s">
        <v>167</v>
      </c>
      <c r="K31" s="12" t="s">
        <v>168</v>
      </c>
    </row>
    <row r="32" spans="1:11">
      <c r="A32" s="2">
        <v>23</v>
      </c>
      <c r="B32" s="46">
        <f t="shared" si="0"/>
        <v>1770.197465700378</v>
      </c>
      <c r="C32" s="48">
        <f t="shared" si="1"/>
        <v>1046.3320973753125</v>
      </c>
      <c r="D32" s="48">
        <f t="shared" si="6"/>
        <v>723.86536832506545</v>
      </c>
      <c r="E32" s="48">
        <f t="shared" si="7"/>
        <v>113421.4543453454</v>
      </c>
      <c r="G32" s="2">
        <v>0</v>
      </c>
      <c r="H32" s="46"/>
      <c r="I32" s="2"/>
      <c r="J32" s="2"/>
      <c r="K32" s="96">
        <f>E2</f>
        <v>128507.97245663748</v>
      </c>
    </row>
    <row r="33" spans="1:11">
      <c r="A33" s="2">
        <v>24</v>
      </c>
      <c r="B33" s="46">
        <f t="shared" si="0"/>
        <v>1770.197465700378</v>
      </c>
      <c r="C33" s="48">
        <f t="shared" si="1"/>
        <v>1039.6966648323328</v>
      </c>
      <c r="D33" s="48">
        <f t="shared" si="6"/>
        <v>730.50080086804519</v>
      </c>
      <c r="E33" s="48">
        <f t="shared" si="7"/>
        <v>112690.95354447735</v>
      </c>
      <c r="G33" s="2">
        <v>1</v>
      </c>
      <c r="H33" s="46">
        <f>SUM(B10:B21)</f>
        <v>21242.369588404534</v>
      </c>
      <c r="I33" s="48">
        <f>SUM(C10:C21)</f>
        <v>13766.414541086182</v>
      </c>
      <c r="J33" s="48">
        <f>H33-I33</f>
        <v>7475.9550473183517</v>
      </c>
      <c r="K33" s="48">
        <f>K32-J33</f>
        <v>121032.01740931913</v>
      </c>
    </row>
    <row r="34" spans="1:11">
      <c r="A34" s="2">
        <v>25</v>
      </c>
      <c r="B34" s="46">
        <f t="shared" si="0"/>
        <v>1770.197465700378</v>
      </c>
      <c r="C34" s="48">
        <f t="shared" si="1"/>
        <v>1033.0004074910423</v>
      </c>
      <c r="D34" s="48">
        <f t="shared" si="6"/>
        <v>737.19705820933564</v>
      </c>
      <c r="E34" s="48">
        <f t="shared" si="7"/>
        <v>111953.75648626802</v>
      </c>
      <c r="F34" s="127"/>
      <c r="G34" s="2">
        <v>2</v>
      </c>
      <c r="H34" s="46">
        <f>SUM(B22:B33)</f>
        <v>21242.369588404534</v>
      </c>
      <c r="I34" s="48">
        <f>SUM(C22:C33)</f>
        <v>12901.305723562771</v>
      </c>
      <c r="J34" s="48">
        <f>H34-I34</f>
        <v>8341.0638648417626</v>
      </c>
      <c r="K34" s="48">
        <f>K33-J34</f>
        <v>112690.95354447736</v>
      </c>
    </row>
    <row r="35" spans="1:11">
      <c r="A35" s="2">
        <v>26</v>
      </c>
      <c r="B35" s="46">
        <f t="shared" si="0"/>
        <v>1770.197465700378</v>
      </c>
      <c r="C35" s="48">
        <f t="shared" si="1"/>
        <v>1026.2427677907901</v>
      </c>
      <c r="D35" s="48">
        <f t="shared" si="6"/>
        <v>743.95469790958782</v>
      </c>
      <c r="E35" s="48">
        <f t="shared" si="7"/>
        <v>111209.80178835843</v>
      </c>
      <c r="G35" s="2">
        <v>3</v>
      </c>
      <c r="H35" s="46">
        <f t="shared" ref="H35:H42" si="8">SUM(B23:B34)</f>
        <v>21242.369588404534</v>
      </c>
      <c r="I35" s="48">
        <f>SUM(C34:C45)</f>
        <v>11936.087520493335</v>
      </c>
      <c r="J35" s="48">
        <f t="shared" ref="J35:J42" si="9">H35-I35</f>
        <v>9306.2820679111992</v>
      </c>
      <c r="K35" s="48">
        <f t="shared" ref="K35:K41" si="10">K34-J35</f>
        <v>103384.67147656616</v>
      </c>
    </row>
    <row r="36" spans="1:11">
      <c r="A36" s="2">
        <v>27</v>
      </c>
      <c r="B36" s="46">
        <f t="shared" si="0"/>
        <v>1770.197465700378</v>
      </c>
      <c r="C36" s="48">
        <f t="shared" si="1"/>
        <v>1019.4231830599522</v>
      </c>
      <c r="D36" s="48">
        <f t="shared" si="6"/>
        <v>750.77428264042578</v>
      </c>
      <c r="E36" s="48">
        <f t="shared" si="7"/>
        <v>110459.027505718</v>
      </c>
      <c r="G36" s="2">
        <v>4</v>
      </c>
      <c r="H36" s="46">
        <f t="shared" si="8"/>
        <v>21242.369588404534</v>
      </c>
      <c r="I36" s="48">
        <f>SUM(C46:C57)</f>
        <v>10859.175390290264</v>
      </c>
      <c r="J36" s="48">
        <f t="shared" si="9"/>
        <v>10383.19419811427</v>
      </c>
      <c r="K36" s="48">
        <f t="shared" si="10"/>
        <v>93001.477278451886</v>
      </c>
    </row>
    <row r="37" spans="1:11">
      <c r="A37" s="2">
        <v>28</v>
      </c>
      <c r="B37" s="46">
        <f t="shared" si="0"/>
        <v>1770.197465700378</v>
      </c>
      <c r="C37" s="48">
        <f t="shared" si="1"/>
        <v>1012.5410854690816</v>
      </c>
      <c r="D37" s="48">
        <f t="shared" si="6"/>
        <v>757.65638023129634</v>
      </c>
      <c r="E37" s="48">
        <f t="shared" si="7"/>
        <v>109701.37112548669</v>
      </c>
      <c r="G37" s="2">
        <v>5</v>
      </c>
      <c r="H37" s="46">
        <f t="shared" si="8"/>
        <v>21242.369588404534</v>
      </c>
      <c r="I37" s="48">
        <f>SUM(C58:C69)</f>
        <v>9657.6442416955888</v>
      </c>
      <c r="J37" s="48">
        <f t="shared" si="9"/>
        <v>11584.725346708945</v>
      </c>
      <c r="K37" s="48">
        <f t="shared" si="10"/>
        <v>81416.75193174294</v>
      </c>
    </row>
    <row r="38" spans="1:11">
      <c r="A38" s="2">
        <v>29</v>
      </c>
      <c r="B38" s="46">
        <f t="shared" si="0"/>
        <v>1770.197465700378</v>
      </c>
      <c r="C38" s="48">
        <f t="shared" si="1"/>
        <v>1005.595901983628</v>
      </c>
      <c r="D38" s="48">
        <f t="shared" si="6"/>
        <v>764.60156371674998</v>
      </c>
      <c r="E38" s="48">
        <f t="shared" si="7"/>
        <v>108936.76956176995</v>
      </c>
      <c r="G38" s="2">
        <v>6</v>
      </c>
      <c r="H38" s="46">
        <f t="shared" si="8"/>
        <v>21242.369588404534</v>
      </c>
      <c r="I38" s="48">
        <f>SUM(C70:C81)</f>
        <v>8317.0733069332382</v>
      </c>
      <c r="J38" s="48">
        <f t="shared" si="9"/>
        <v>12925.296281471296</v>
      </c>
      <c r="K38" s="48">
        <f t="shared" si="10"/>
        <v>68491.455650271644</v>
      </c>
    </row>
    <row r="39" spans="1:11">
      <c r="A39" s="2">
        <v>30</v>
      </c>
      <c r="B39" s="46">
        <f t="shared" si="0"/>
        <v>1770.197465700378</v>
      </c>
      <c r="C39" s="48">
        <f t="shared" si="1"/>
        <v>998.58705431622457</v>
      </c>
      <c r="D39" s="48">
        <f t="shared" si="6"/>
        <v>771.61041138415339</v>
      </c>
      <c r="E39" s="48">
        <f t="shared" si="7"/>
        <v>108165.15915038579</v>
      </c>
      <c r="G39" s="2">
        <v>7</v>
      </c>
      <c r="H39" s="46">
        <f t="shared" si="8"/>
        <v>21242.369588404534</v>
      </c>
      <c r="I39" s="48">
        <f>SUM(C82:C93)</f>
        <v>6821.3730637630597</v>
      </c>
      <c r="J39" s="48">
        <f t="shared" si="9"/>
        <v>14420.996524641474</v>
      </c>
      <c r="K39" s="48">
        <f t="shared" si="10"/>
        <v>54070.459125630172</v>
      </c>
    </row>
    <row r="40" spans="1:11">
      <c r="A40" s="2">
        <v>31</v>
      </c>
      <c r="B40" s="46">
        <f t="shared" si="0"/>
        <v>1770.197465700378</v>
      </c>
      <c r="C40" s="48">
        <f t="shared" si="1"/>
        <v>991.51395887853641</v>
      </c>
      <c r="D40" s="48">
        <f t="shared" si="6"/>
        <v>778.68350682184155</v>
      </c>
      <c r="E40" s="48">
        <f t="shared" si="7"/>
        <v>107386.47564356396</v>
      </c>
      <c r="G40" s="2">
        <v>8</v>
      </c>
      <c r="H40" s="46">
        <f t="shared" si="8"/>
        <v>21242.369588404534</v>
      </c>
      <c r="I40" s="48">
        <f>SUM(C94:C105)</f>
        <v>5152.5921291563318</v>
      </c>
      <c r="J40" s="48">
        <f t="shared" si="9"/>
        <v>16089.777459248202</v>
      </c>
      <c r="K40" s="48">
        <f t="shared" si="10"/>
        <v>37980.68166638197</v>
      </c>
    </row>
    <row r="41" spans="1:11">
      <c r="A41" s="2">
        <v>32</v>
      </c>
      <c r="B41" s="46">
        <f t="shared" si="0"/>
        <v>1770.197465700378</v>
      </c>
      <c r="C41" s="48">
        <f t="shared" si="1"/>
        <v>984.37602673266963</v>
      </c>
      <c r="D41" s="48">
        <f t="shared" si="6"/>
        <v>785.82143896770833</v>
      </c>
      <c r="E41" s="48">
        <f t="shared" si="7"/>
        <v>106600.65420459626</v>
      </c>
      <c r="G41" s="2">
        <v>9</v>
      </c>
      <c r="H41" s="46">
        <f t="shared" si="8"/>
        <v>21242.369588404534</v>
      </c>
      <c r="I41" s="48">
        <f>SUM(C106:C117)</f>
        <v>3290.7018069321507</v>
      </c>
      <c r="J41" s="48">
        <f t="shared" si="9"/>
        <v>17951.667781472384</v>
      </c>
      <c r="K41" s="48">
        <f t="shared" si="10"/>
        <v>20029.013884909586</v>
      </c>
    </row>
    <row r="42" spans="1:11">
      <c r="A42" s="2">
        <v>33</v>
      </c>
      <c r="B42" s="46">
        <f t="shared" ref="B42:B73" si="11">$J$11</f>
        <v>1770.197465700378</v>
      </c>
      <c r="C42" s="48">
        <f t="shared" ref="C42:C73" si="12">E41*$J$9</f>
        <v>977.17266354213234</v>
      </c>
      <c r="D42" s="48">
        <f t="shared" si="6"/>
        <v>793.02480215824562</v>
      </c>
      <c r="E42" s="48">
        <f t="shared" si="7"/>
        <v>105807.629402438</v>
      </c>
      <c r="G42" s="2">
        <v>10</v>
      </c>
      <c r="H42" s="46">
        <f t="shared" si="8"/>
        <v>21242.369588404534</v>
      </c>
      <c r="I42" s="48">
        <f>SUM(C118:C129)</f>
        <v>1213.3557034970572</v>
      </c>
      <c r="J42" s="48">
        <f t="shared" si="9"/>
        <v>20029.013884907476</v>
      </c>
      <c r="K42" s="95">
        <f>K41-J42</f>
        <v>2.1100277081131935E-9</v>
      </c>
    </row>
    <row r="43" spans="1:11">
      <c r="A43" s="2">
        <v>34</v>
      </c>
      <c r="B43" s="46">
        <f t="shared" si="11"/>
        <v>1770.197465700378</v>
      </c>
      <c r="C43" s="48">
        <f t="shared" si="12"/>
        <v>969.90326952234841</v>
      </c>
      <c r="D43" s="48">
        <f t="shared" si="6"/>
        <v>800.29419617802955</v>
      </c>
      <c r="E43" s="48">
        <f t="shared" si="7"/>
        <v>105007.33520625997</v>
      </c>
      <c r="H43" s="46">
        <f>SUM(H33:H42)</f>
        <v>212423.69588404536</v>
      </c>
      <c r="I43" s="46">
        <f>SUM(I33:I42)</f>
        <v>83915.723427409976</v>
      </c>
      <c r="J43" s="46">
        <f t="shared" ref="J43" si="13">SUM(J33:J42)</f>
        <v>128507.97245663535</v>
      </c>
    </row>
    <row r="44" spans="1:11">
      <c r="A44" s="2">
        <v>35</v>
      </c>
      <c r="B44" s="46">
        <f t="shared" si="11"/>
        <v>1770.197465700378</v>
      </c>
      <c r="C44" s="48">
        <f t="shared" si="12"/>
        <v>962.5672393907164</v>
      </c>
      <c r="D44" s="48">
        <f t="shared" si="6"/>
        <v>807.63022630966157</v>
      </c>
      <c r="E44" s="48">
        <f t="shared" si="7"/>
        <v>104199.70497995031</v>
      </c>
    </row>
    <row r="45" spans="1:11">
      <c r="A45" s="2">
        <v>36</v>
      </c>
      <c r="B45" s="46">
        <f t="shared" si="11"/>
        <v>1770.197465700378</v>
      </c>
      <c r="C45" s="48">
        <f t="shared" si="12"/>
        <v>955.16396231621127</v>
      </c>
      <c r="D45" s="48">
        <f t="shared" si="6"/>
        <v>815.03350338416669</v>
      </c>
      <c r="E45" s="48">
        <f t="shared" si="7"/>
        <v>103384.67147656615</v>
      </c>
    </row>
    <row r="46" spans="1:11">
      <c r="A46" s="2">
        <v>37</v>
      </c>
      <c r="B46" s="46">
        <f t="shared" si="11"/>
        <v>1770.197465700378</v>
      </c>
      <c r="C46" s="48">
        <f t="shared" si="12"/>
        <v>947.69282186852297</v>
      </c>
      <c r="D46" s="48">
        <f t="shared" si="6"/>
        <v>822.50464383185499</v>
      </c>
      <c r="E46" s="48">
        <f t="shared" si="7"/>
        <v>102562.16683273429</v>
      </c>
    </row>
    <row r="47" spans="1:11">
      <c r="A47" s="2">
        <v>38</v>
      </c>
      <c r="B47" s="46">
        <f t="shared" si="11"/>
        <v>1770.197465700378</v>
      </c>
      <c r="C47" s="48">
        <f t="shared" si="12"/>
        <v>940.153195966731</v>
      </c>
      <c r="D47" s="48">
        <f t="shared" si="6"/>
        <v>830.04426973364696</v>
      </c>
      <c r="E47" s="48">
        <f t="shared" si="7"/>
        <v>101732.12256300065</v>
      </c>
    </row>
    <row r="48" spans="1:11">
      <c r="A48" s="2">
        <v>39</v>
      </c>
      <c r="B48" s="46">
        <f t="shared" si="11"/>
        <v>1770.197465700378</v>
      </c>
      <c r="C48" s="48">
        <f t="shared" si="12"/>
        <v>932.544456827506</v>
      </c>
      <c r="D48" s="48">
        <f t="shared" si="6"/>
        <v>837.65300887287196</v>
      </c>
      <c r="E48" s="48">
        <f t="shared" si="7"/>
        <v>100894.46955412778</v>
      </c>
    </row>
    <row r="49" spans="1:5">
      <c r="A49" s="2">
        <v>40</v>
      </c>
      <c r="B49" s="46">
        <f t="shared" si="11"/>
        <v>1770.197465700378</v>
      </c>
      <c r="C49" s="48">
        <f t="shared" si="12"/>
        <v>924.86597091283795</v>
      </c>
      <c r="D49" s="48">
        <f t="shared" si="6"/>
        <v>845.33149478754001</v>
      </c>
      <c r="E49" s="48">
        <f t="shared" si="7"/>
        <v>100049.13805934024</v>
      </c>
    </row>
    <row r="50" spans="1:5">
      <c r="A50" s="2">
        <v>41</v>
      </c>
      <c r="B50" s="46">
        <f t="shared" si="11"/>
        <v>1770.197465700378</v>
      </c>
      <c r="C50" s="48">
        <f t="shared" si="12"/>
        <v>917.11709887728557</v>
      </c>
      <c r="D50" s="48">
        <f t="shared" si="6"/>
        <v>853.08036682309239</v>
      </c>
      <c r="E50" s="48">
        <f t="shared" si="7"/>
        <v>99196.057692517148</v>
      </c>
    </row>
    <row r="51" spans="1:5">
      <c r="A51" s="2">
        <v>42</v>
      </c>
      <c r="B51" s="46">
        <f t="shared" si="11"/>
        <v>1770.197465700378</v>
      </c>
      <c r="C51" s="48">
        <f t="shared" si="12"/>
        <v>909.29719551474057</v>
      </c>
      <c r="D51" s="48">
        <f t="shared" si="6"/>
        <v>860.9002701856374</v>
      </c>
      <c r="E51" s="48">
        <f t="shared" si="7"/>
        <v>98335.157422331511</v>
      </c>
    </row>
    <row r="52" spans="1:5">
      <c r="A52" s="2">
        <v>43</v>
      </c>
      <c r="B52" s="46">
        <f t="shared" si="11"/>
        <v>1770.197465700378</v>
      </c>
      <c r="C52" s="48">
        <f t="shared" si="12"/>
        <v>901.40560970470551</v>
      </c>
      <c r="D52" s="48">
        <f t="shared" si="6"/>
        <v>868.79185599567245</v>
      </c>
      <c r="E52" s="48">
        <f t="shared" si="7"/>
        <v>97466.365566335837</v>
      </c>
    </row>
    <row r="53" spans="1:5">
      <c r="A53" s="2">
        <v>44</v>
      </c>
      <c r="B53" s="46">
        <f t="shared" si="11"/>
        <v>1770.197465700378</v>
      </c>
      <c r="C53" s="48">
        <f t="shared" si="12"/>
        <v>893.44168435807853</v>
      </c>
      <c r="D53" s="48">
        <f t="shared" si="6"/>
        <v>876.75578134229943</v>
      </c>
      <c r="E53" s="48">
        <f t="shared" si="7"/>
        <v>96589.609784993532</v>
      </c>
    </row>
    <row r="54" spans="1:5">
      <c r="A54" s="2">
        <v>45</v>
      </c>
      <c r="B54" s="46">
        <f t="shared" si="11"/>
        <v>1770.197465700378</v>
      </c>
      <c r="C54" s="48">
        <f t="shared" si="12"/>
        <v>885.40475636244071</v>
      </c>
      <c r="D54" s="48">
        <f t="shared" si="6"/>
        <v>884.79270933793725</v>
      </c>
      <c r="E54" s="48">
        <f t="shared" si="7"/>
        <v>95704.817075655592</v>
      </c>
    </row>
    <row r="55" spans="1:5">
      <c r="A55" s="2">
        <v>46</v>
      </c>
      <c r="B55" s="46">
        <f t="shared" si="11"/>
        <v>1770.197465700378</v>
      </c>
      <c r="C55" s="48">
        <f t="shared" si="12"/>
        <v>877.29415652684293</v>
      </c>
      <c r="D55" s="48">
        <f t="shared" si="6"/>
        <v>892.90330917353504</v>
      </c>
      <c r="E55" s="48">
        <f t="shared" si="7"/>
        <v>94811.913766482059</v>
      </c>
    </row>
    <row r="56" spans="1:5">
      <c r="A56" s="2">
        <v>47</v>
      </c>
      <c r="B56" s="46">
        <f t="shared" si="11"/>
        <v>1770.197465700378</v>
      </c>
      <c r="C56" s="48">
        <f t="shared" si="12"/>
        <v>869.10920952608558</v>
      </c>
      <c r="D56" s="48">
        <f t="shared" si="6"/>
        <v>901.08825617429238</v>
      </c>
      <c r="E56" s="48">
        <f t="shared" si="7"/>
        <v>93910.825510307768</v>
      </c>
    </row>
    <row r="57" spans="1:5">
      <c r="A57" s="2">
        <v>48</v>
      </c>
      <c r="B57" s="46">
        <f t="shared" si="11"/>
        <v>1770.197465700378</v>
      </c>
      <c r="C57" s="48">
        <f t="shared" si="12"/>
        <v>860.84923384448791</v>
      </c>
      <c r="D57" s="48">
        <f t="shared" si="6"/>
        <v>909.34823185589005</v>
      </c>
      <c r="E57" s="48">
        <f t="shared" si="7"/>
        <v>93001.477278451872</v>
      </c>
    </row>
    <row r="58" spans="1:5">
      <c r="A58" s="2">
        <v>49</v>
      </c>
      <c r="B58" s="46">
        <f t="shared" si="11"/>
        <v>1770.197465700378</v>
      </c>
      <c r="C58" s="48">
        <f t="shared" si="12"/>
        <v>852.51354171914215</v>
      </c>
      <c r="D58" s="48">
        <f t="shared" si="6"/>
        <v>917.68392398123581</v>
      </c>
      <c r="E58" s="48">
        <f t="shared" si="7"/>
        <v>92083.793354470632</v>
      </c>
    </row>
    <row r="59" spans="1:5">
      <c r="A59" s="2">
        <v>50</v>
      </c>
      <c r="B59" s="46">
        <f t="shared" si="11"/>
        <v>1770.197465700378</v>
      </c>
      <c r="C59" s="48">
        <f t="shared" si="12"/>
        <v>844.10143908264752</v>
      </c>
      <c r="D59" s="48">
        <f t="shared" si="6"/>
        <v>926.09602661773044</v>
      </c>
      <c r="E59" s="48">
        <f t="shared" si="7"/>
        <v>91157.697327852904</v>
      </c>
    </row>
    <row r="60" spans="1:5">
      <c r="A60" s="2">
        <v>51</v>
      </c>
      <c r="B60" s="46">
        <f t="shared" si="11"/>
        <v>1770.197465700378</v>
      </c>
      <c r="C60" s="48">
        <f t="shared" si="12"/>
        <v>835.61222550531829</v>
      </c>
      <c r="D60" s="48">
        <f t="shared" si="6"/>
        <v>934.58524019505967</v>
      </c>
      <c r="E60" s="48">
        <f t="shared" si="7"/>
        <v>90223.11208765785</v>
      </c>
    </row>
    <row r="61" spans="1:5">
      <c r="A61" s="2">
        <v>52</v>
      </c>
      <c r="B61" s="46">
        <f t="shared" si="11"/>
        <v>1770.197465700378</v>
      </c>
      <c r="C61" s="48">
        <f t="shared" si="12"/>
        <v>827.04519413686364</v>
      </c>
      <c r="D61" s="48">
        <f t="shared" si="6"/>
        <v>943.15227156351432</v>
      </c>
      <c r="E61" s="48">
        <f t="shared" si="7"/>
        <v>89279.959816094342</v>
      </c>
    </row>
    <row r="62" spans="1:5">
      <c r="A62" s="2">
        <v>53</v>
      </c>
      <c r="B62" s="46">
        <f t="shared" si="11"/>
        <v>1770.197465700378</v>
      </c>
      <c r="C62" s="48">
        <f t="shared" si="12"/>
        <v>818.39963164753146</v>
      </c>
      <c r="D62" s="48">
        <f t="shared" si="6"/>
        <v>951.7978340528465</v>
      </c>
      <c r="E62" s="48">
        <f t="shared" si="7"/>
        <v>88328.161982041493</v>
      </c>
    </row>
    <row r="63" spans="1:5">
      <c r="A63" s="2">
        <v>54</v>
      </c>
      <c r="B63" s="46">
        <f t="shared" si="11"/>
        <v>1770.197465700378</v>
      </c>
      <c r="C63" s="48">
        <f t="shared" si="12"/>
        <v>809.67481816871373</v>
      </c>
      <c r="D63" s="48">
        <f t="shared" si="6"/>
        <v>960.52264753166423</v>
      </c>
      <c r="E63" s="48">
        <f t="shared" si="7"/>
        <v>87367.639334509833</v>
      </c>
    </row>
    <row r="64" spans="1:5">
      <c r="A64" s="2">
        <v>55</v>
      </c>
      <c r="B64" s="46">
        <f t="shared" si="11"/>
        <v>1770.197465700378</v>
      </c>
      <c r="C64" s="48">
        <f t="shared" si="12"/>
        <v>800.87002723300679</v>
      </c>
      <c r="D64" s="48">
        <f t="shared" si="6"/>
        <v>969.32743846737117</v>
      </c>
      <c r="E64" s="48">
        <f t="shared" si="7"/>
        <v>86398.311896042462</v>
      </c>
    </row>
    <row r="65" spans="1:5">
      <c r="A65" s="2">
        <v>56</v>
      </c>
      <c r="B65" s="46">
        <f t="shared" si="11"/>
        <v>1770.197465700378</v>
      </c>
      <c r="C65" s="48">
        <f t="shared" si="12"/>
        <v>791.98452571372252</v>
      </c>
      <c r="D65" s="48">
        <f t="shared" si="6"/>
        <v>978.21293998665544</v>
      </c>
      <c r="E65" s="48">
        <f t="shared" si="7"/>
        <v>85420.098956055808</v>
      </c>
    </row>
    <row r="66" spans="1:5">
      <c r="A66" s="2">
        <v>57</v>
      </c>
      <c r="B66" s="46">
        <f t="shared" si="11"/>
        <v>1770.197465700378</v>
      </c>
      <c r="C66" s="48">
        <f t="shared" si="12"/>
        <v>783.01757376384489</v>
      </c>
      <c r="D66" s="48">
        <f t="shared" si="6"/>
        <v>987.17989193653307</v>
      </c>
      <c r="E66" s="48">
        <f t="shared" si="7"/>
        <v>84432.919064119269</v>
      </c>
    </row>
    <row r="67" spans="1:5">
      <c r="A67" s="2">
        <v>58</v>
      </c>
      <c r="B67" s="46">
        <f t="shared" si="11"/>
        <v>1770.197465700378</v>
      </c>
      <c r="C67" s="48">
        <f t="shared" si="12"/>
        <v>773.96842475442668</v>
      </c>
      <c r="D67" s="48">
        <f t="shared" si="6"/>
        <v>996.22904094595128</v>
      </c>
      <c r="E67" s="48">
        <f t="shared" si="7"/>
        <v>83436.690023173316</v>
      </c>
    </row>
    <row r="68" spans="1:5">
      <c r="A68" s="2">
        <v>59</v>
      </c>
      <c r="B68" s="46">
        <f t="shared" si="11"/>
        <v>1770.197465700378</v>
      </c>
      <c r="C68" s="48">
        <f t="shared" si="12"/>
        <v>764.83632521242203</v>
      </c>
      <c r="D68" s="48">
        <f t="shared" si="6"/>
        <v>1005.3611404879559</v>
      </c>
      <c r="E68" s="48">
        <f t="shared" si="7"/>
        <v>82431.328882685353</v>
      </c>
    </row>
    <row r="69" spans="1:5">
      <c r="A69" s="2">
        <v>60</v>
      </c>
      <c r="B69" s="46">
        <f t="shared" si="11"/>
        <v>1770.197465700378</v>
      </c>
      <c r="C69" s="48">
        <f t="shared" si="12"/>
        <v>755.62051475794908</v>
      </c>
      <c r="D69" s="48">
        <f t="shared" si="6"/>
        <v>1014.5769509424289</v>
      </c>
      <c r="E69" s="48">
        <f t="shared" si="7"/>
        <v>81416.751931742925</v>
      </c>
    </row>
    <row r="70" spans="1:5">
      <c r="A70" s="2">
        <v>61</v>
      </c>
      <c r="B70" s="46">
        <f t="shared" si="11"/>
        <v>1770.197465700378</v>
      </c>
      <c r="C70" s="48">
        <f t="shared" si="12"/>
        <v>746.32022604097676</v>
      </c>
      <c r="D70" s="48">
        <f t="shared" si="6"/>
        <v>1023.8772396594012</v>
      </c>
      <c r="E70" s="48">
        <f t="shared" si="7"/>
        <v>80392.874692083526</v>
      </c>
    </row>
    <row r="71" spans="1:5">
      <c r="A71" s="2">
        <v>62</v>
      </c>
      <c r="B71" s="46">
        <f t="shared" si="11"/>
        <v>1770.197465700378</v>
      </c>
      <c r="C71" s="48">
        <f t="shared" si="12"/>
        <v>736.9346846774323</v>
      </c>
      <c r="D71" s="48">
        <f t="shared" si="6"/>
        <v>1033.2627810229455</v>
      </c>
      <c r="E71" s="48">
        <f t="shared" si="7"/>
        <v>79359.61191106058</v>
      </c>
    </row>
    <row r="72" spans="1:5">
      <c r="A72" s="2">
        <v>63</v>
      </c>
      <c r="B72" s="46">
        <f t="shared" si="11"/>
        <v>1770.197465700378</v>
      </c>
      <c r="C72" s="48">
        <f t="shared" si="12"/>
        <v>727.46310918472193</v>
      </c>
      <c r="D72" s="48">
        <f t="shared" si="6"/>
        <v>1042.7343565156561</v>
      </c>
      <c r="E72" s="48">
        <f t="shared" si="7"/>
        <v>78316.877554544917</v>
      </c>
    </row>
    <row r="73" spans="1:5">
      <c r="A73" s="2">
        <v>64</v>
      </c>
      <c r="B73" s="46">
        <f t="shared" si="11"/>
        <v>1770.197465700378</v>
      </c>
      <c r="C73" s="48">
        <f t="shared" si="12"/>
        <v>717.90471091666177</v>
      </c>
      <c r="D73" s="48">
        <f t="shared" si="6"/>
        <v>1052.2927547837162</v>
      </c>
      <c r="E73" s="48">
        <f t="shared" si="7"/>
        <v>77264.5847997612</v>
      </c>
    </row>
    <row r="74" spans="1:5">
      <c r="A74" s="2">
        <v>65</v>
      </c>
      <c r="B74" s="46">
        <f t="shared" ref="B74:B105" si="14">$J$11</f>
        <v>1770.197465700378</v>
      </c>
      <c r="C74" s="48">
        <f t="shared" ref="C74:C105" si="15">E73*$J$9</f>
        <v>708.25869399781095</v>
      </c>
      <c r="D74" s="48">
        <f t="shared" si="6"/>
        <v>1061.938771702567</v>
      </c>
      <c r="E74" s="48">
        <f t="shared" si="7"/>
        <v>76202.646028058633</v>
      </c>
    </row>
    <row r="75" spans="1:5">
      <c r="A75" s="2">
        <v>66</v>
      </c>
      <c r="B75" s="46">
        <f t="shared" si="14"/>
        <v>1770.197465700378</v>
      </c>
      <c r="C75" s="48">
        <f t="shared" si="15"/>
        <v>698.52425525720412</v>
      </c>
      <c r="D75" s="48">
        <f t="shared" si="6"/>
        <v>1071.673210443174</v>
      </c>
      <c r="E75" s="48">
        <f t="shared" si="7"/>
        <v>75130.97281761546</v>
      </c>
    </row>
    <row r="76" spans="1:5">
      <c r="A76" s="2">
        <v>67</v>
      </c>
      <c r="B76" s="46">
        <f t="shared" si="14"/>
        <v>1770.197465700378</v>
      </c>
      <c r="C76" s="48">
        <f t="shared" si="15"/>
        <v>688.70058416147504</v>
      </c>
      <c r="D76" s="48">
        <f t="shared" si="6"/>
        <v>1081.4968815389029</v>
      </c>
      <c r="E76" s="48">
        <f t="shared" si="7"/>
        <v>74049.47593607656</v>
      </c>
    </row>
    <row r="77" spans="1:5">
      <c r="A77" s="2">
        <v>68</v>
      </c>
      <c r="B77" s="46">
        <f t="shared" si="14"/>
        <v>1770.197465700378</v>
      </c>
      <c r="C77" s="48">
        <f t="shared" si="15"/>
        <v>678.78686274736845</v>
      </c>
      <c r="D77" s="48">
        <f t="shared" si="6"/>
        <v>1091.4106029530094</v>
      </c>
      <c r="E77" s="48">
        <f t="shared" si="7"/>
        <v>72958.065333123552</v>
      </c>
    </row>
    <row r="78" spans="1:5">
      <c r="A78" s="2">
        <v>69</v>
      </c>
      <c r="B78" s="46">
        <f t="shared" si="14"/>
        <v>1770.197465700378</v>
      </c>
      <c r="C78" s="48">
        <f t="shared" si="15"/>
        <v>668.78226555363256</v>
      </c>
      <c r="D78" s="48">
        <f t="shared" si="6"/>
        <v>1101.4152001467455</v>
      </c>
      <c r="E78" s="48">
        <f t="shared" si="7"/>
        <v>71856.650132976807</v>
      </c>
    </row>
    <row r="79" spans="1:5">
      <c r="A79" s="2">
        <v>70</v>
      </c>
      <c r="B79" s="46">
        <f t="shared" si="14"/>
        <v>1770.197465700378</v>
      </c>
      <c r="C79" s="48">
        <f t="shared" si="15"/>
        <v>658.68595955228739</v>
      </c>
      <c r="D79" s="48">
        <f t="shared" si="6"/>
        <v>1111.5115061480906</v>
      </c>
      <c r="E79" s="48">
        <f t="shared" si="7"/>
        <v>70745.138626828717</v>
      </c>
    </row>
    <row r="80" spans="1:5">
      <c r="A80" s="2">
        <v>71</v>
      </c>
      <c r="B80" s="46">
        <f t="shared" si="14"/>
        <v>1770.197465700378</v>
      </c>
      <c r="C80" s="48">
        <f t="shared" si="15"/>
        <v>648.49710407926329</v>
      </c>
      <c r="D80" s="48">
        <f t="shared" si="6"/>
        <v>1121.7003616211146</v>
      </c>
      <c r="E80" s="48">
        <f t="shared" si="7"/>
        <v>69623.438265207602</v>
      </c>
    </row>
    <row r="81" spans="1:5">
      <c r="A81" s="2">
        <v>72</v>
      </c>
      <c r="B81" s="46">
        <f t="shared" si="14"/>
        <v>1770.197465700378</v>
      </c>
      <c r="C81" s="48">
        <f t="shared" si="15"/>
        <v>638.21485076440297</v>
      </c>
      <c r="D81" s="48">
        <f t="shared" si="6"/>
        <v>1131.9826149359751</v>
      </c>
      <c r="E81" s="48">
        <f t="shared" si="7"/>
        <v>68491.45565027163</v>
      </c>
    </row>
    <row r="82" spans="1:5">
      <c r="A82" s="2">
        <v>73</v>
      </c>
      <c r="B82" s="46">
        <f t="shared" si="14"/>
        <v>1770.197465700378</v>
      </c>
      <c r="C82" s="48">
        <f t="shared" si="15"/>
        <v>627.83834346082324</v>
      </c>
      <c r="D82" s="48">
        <f t="shared" si="6"/>
        <v>1142.3591222395548</v>
      </c>
      <c r="E82" s="48">
        <f t="shared" si="7"/>
        <v>67349.096528032082</v>
      </c>
    </row>
    <row r="83" spans="1:5">
      <c r="A83" s="2">
        <v>74</v>
      </c>
      <c r="B83" s="46">
        <f t="shared" si="14"/>
        <v>1770.197465700378</v>
      </c>
      <c r="C83" s="48">
        <f t="shared" si="15"/>
        <v>617.36671817362742</v>
      </c>
      <c r="D83" s="48">
        <f t="shared" si="6"/>
        <v>1152.8307475267507</v>
      </c>
      <c r="E83" s="48">
        <f t="shared" si="7"/>
        <v>66196.265780505331</v>
      </c>
    </row>
    <row r="84" spans="1:5">
      <c r="A84" s="2">
        <v>75</v>
      </c>
      <c r="B84" s="46">
        <f t="shared" si="14"/>
        <v>1770.197465700378</v>
      </c>
      <c r="C84" s="48">
        <f t="shared" si="15"/>
        <v>606.79910298796551</v>
      </c>
      <c r="D84" s="48">
        <f t="shared" si="6"/>
        <v>1163.3983627124126</v>
      </c>
      <c r="E84" s="48">
        <f t="shared" si="7"/>
        <v>65032.867417792921</v>
      </c>
    </row>
    <row r="85" spans="1:5">
      <c r="A85" s="2">
        <v>76</v>
      </c>
      <c r="B85" s="46">
        <f t="shared" si="14"/>
        <v>1770.197465700378</v>
      </c>
      <c r="C85" s="48">
        <f t="shared" si="15"/>
        <v>596.13461799643505</v>
      </c>
      <c r="D85" s="48">
        <f t="shared" si="6"/>
        <v>1174.0628477039429</v>
      </c>
      <c r="E85" s="48">
        <f t="shared" si="7"/>
        <v>63858.804570088978</v>
      </c>
    </row>
    <row r="86" spans="1:5">
      <c r="A86" s="2">
        <v>77</v>
      </c>
      <c r="B86" s="46">
        <f t="shared" si="14"/>
        <v>1770.197465700378</v>
      </c>
      <c r="C86" s="48">
        <f t="shared" si="15"/>
        <v>585.37237522581563</v>
      </c>
      <c r="D86" s="48">
        <f t="shared" si="6"/>
        <v>1184.8250904745623</v>
      </c>
      <c r="E86" s="48">
        <f t="shared" si="7"/>
        <v>62673.979479614412</v>
      </c>
    </row>
    <row r="87" spans="1:5">
      <c r="A87" s="2">
        <v>78</v>
      </c>
      <c r="B87" s="46">
        <f t="shared" si="14"/>
        <v>1770.197465700378</v>
      </c>
      <c r="C87" s="48">
        <f t="shared" si="15"/>
        <v>574.51147856313207</v>
      </c>
      <c r="D87" s="48">
        <f t="shared" si="6"/>
        <v>1195.6859871372458</v>
      </c>
      <c r="E87" s="48">
        <f t="shared" si="7"/>
        <v>61478.293492477169</v>
      </c>
    </row>
    <row r="88" spans="1:5">
      <c r="A88" s="2">
        <v>79</v>
      </c>
      <c r="B88" s="46">
        <f t="shared" si="14"/>
        <v>1770.197465700378</v>
      </c>
      <c r="C88" s="48">
        <f t="shared" si="15"/>
        <v>563.55102368104076</v>
      </c>
      <c r="D88" s="48">
        <f t="shared" si="6"/>
        <v>1206.6464420193372</v>
      </c>
      <c r="E88" s="48">
        <f t="shared" si="7"/>
        <v>60271.647050457832</v>
      </c>
    </row>
    <row r="89" spans="1:5">
      <c r="A89" s="2">
        <v>80</v>
      </c>
      <c r="B89" s="46">
        <f t="shared" si="14"/>
        <v>1770.197465700378</v>
      </c>
      <c r="C89" s="48">
        <f t="shared" si="15"/>
        <v>552.49009796253017</v>
      </c>
      <c r="D89" s="48">
        <f t="shared" ref="D89:D129" si="16">B89-C89</f>
        <v>1217.7073677378478</v>
      </c>
      <c r="E89" s="48">
        <f t="shared" ref="E89:E128" si="17">E88-D89</f>
        <v>59053.939682719982</v>
      </c>
    </row>
    <row r="90" spans="1:5">
      <c r="A90" s="2">
        <v>81</v>
      </c>
      <c r="B90" s="46">
        <f t="shared" si="14"/>
        <v>1770.197465700378</v>
      </c>
      <c r="C90" s="48">
        <f t="shared" si="15"/>
        <v>541.32778042493317</v>
      </c>
      <c r="D90" s="48">
        <f t="shared" si="16"/>
        <v>1228.8696852754447</v>
      </c>
      <c r="E90" s="48">
        <f t="shared" si="17"/>
        <v>57825.069997444538</v>
      </c>
    </row>
    <row r="91" spans="1:5">
      <c r="A91" s="2">
        <v>82</v>
      </c>
      <c r="B91" s="46">
        <f t="shared" si="14"/>
        <v>1770.197465700378</v>
      </c>
      <c r="C91" s="48">
        <f t="shared" si="15"/>
        <v>530.06314164324158</v>
      </c>
      <c r="D91" s="48">
        <f t="shared" si="16"/>
        <v>1240.1343240571364</v>
      </c>
      <c r="E91" s="48">
        <f t="shared" si="17"/>
        <v>56584.935673387401</v>
      </c>
    </row>
    <row r="92" spans="1:5">
      <c r="A92" s="2">
        <v>83</v>
      </c>
      <c r="B92" s="46">
        <f t="shared" si="14"/>
        <v>1770.197465700378</v>
      </c>
      <c r="C92" s="48">
        <f t="shared" si="15"/>
        <v>518.69524367271788</v>
      </c>
      <c r="D92" s="48">
        <f t="shared" si="16"/>
        <v>1251.5022220276601</v>
      </c>
      <c r="E92" s="48">
        <f t="shared" si="17"/>
        <v>55333.433451359742</v>
      </c>
    </row>
    <row r="93" spans="1:5">
      <c r="A93" s="2">
        <v>84</v>
      </c>
      <c r="B93" s="46">
        <f t="shared" si="14"/>
        <v>1770.197465700378</v>
      </c>
      <c r="C93" s="48">
        <f t="shared" si="15"/>
        <v>507.22313997079766</v>
      </c>
      <c r="D93" s="48">
        <f t="shared" si="16"/>
        <v>1262.9743257295804</v>
      </c>
      <c r="E93" s="48">
        <f t="shared" si="17"/>
        <v>54070.459125630165</v>
      </c>
    </row>
    <row r="94" spans="1:5">
      <c r="A94" s="2">
        <v>85</v>
      </c>
      <c r="B94" s="46">
        <f t="shared" si="14"/>
        <v>1770.197465700378</v>
      </c>
      <c r="C94" s="48">
        <f t="shared" si="15"/>
        <v>495.64587531827652</v>
      </c>
      <c r="D94" s="48">
        <f t="shared" si="16"/>
        <v>1274.5515903821015</v>
      </c>
      <c r="E94" s="48">
        <f t="shared" si="17"/>
        <v>52795.907535248065</v>
      </c>
    </row>
    <row r="95" spans="1:5">
      <c r="A95" s="2">
        <v>86</v>
      </c>
      <c r="B95" s="46">
        <f t="shared" si="14"/>
        <v>1770.197465700378</v>
      </c>
      <c r="C95" s="48">
        <f t="shared" si="15"/>
        <v>483.96248573977391</v>
      </c>
      <c r="D95" s="48">
        <f t="shared" si="16"/>
        <v>1286.2349799606041</v>
      </c>
      <c r="E95" s="48">
        <f t="shared" si="17"/>
        <v>51509.672555287463</v>
      </c>
    </row>
    <row r="96" spans="1:5">
      <c r="A96" s="2">
        <v>87</v>
      </c>
      <c r="B96" s="46">
        <f t="shared" si="14"/>
        <v>1770.197465700378</v>
      </c>
      <c r="C96" s="48">
        <f t="shared" si="15"/>
        <v>472.17199842346844</v>
      </c>
      <c r="D96" s="48">
        <f t="shared" si="16"/>
        <v>1298.0254672769095</v>
      </c>
      <c r="E96" s="48">
        <f t="shared" si="17"/>
        <v>50211.647088010555</v>
      </c>
    </row>
    <row r="97" spans="1:5">
      <c r="A97" s="2">
        <v>88</v>
      </c>
      <c r="B97" s="46">
        <f t="shared" si="14"/>
        <v>1770.197465700378</v>
      </c>
      <c r="C97" s="48">
        <f t="shared" si="15"/>
        <v>460.27343164009676</v>
      </c>
      <c r="D97" s="48">
        <f t="shared" si="16"/>
        <v>1309.9240340602812</v>
      </c>
      <c r="E97" s="48">
        <f t="shared" si="17"/>
        <v>48901.723053950271</v>
      </c>
    </row>
    <row r="98" spans="1:5">
      <c r="A98" s="2">
        <v>89</v>
      </c>
      <c r="B98" s="46">
        <f t="shared" si="14"/>
        <v>1770.197465700378</v>
      </c>
      <c r="C98" s="48">
        <f t="shared" si="15"/>
        <v>448.2657946612108</v>
      </c>
      <c r="D98" s="48">
        <f t="shared" si="16"/>
        <v>1321.9316710391672</v>
      </c>
      <c r="E98" s="48">
        <f t="shared" si="17"/>
        <v>47579.791382911106</v>
      </c>
    </row>
    <row r="99" spans="1:5">
      <c r="A99" s="2">
        <v>90</v>
      </c>
      <c r="B99" s="46">
        <f t="shared" si="14"/>
        <v>1770.197465700378</v>
      </c>
      <c r="C99" s="48">
        <f t="shared" si="15"/>
        <v>436.14808767668512</v>
      </c>
      <c r="D99" s="48">
        <f t="shared" si="16"/>
        <v>1334.049378023693</v>
      </c>
      <c r="E99" s="48">
        <f t="shared" si="17"/>
        <v>46245.742004887412</v>
      </c>
    </row>
    <row r="100" spans="1:5">
      <c r="A100" s="2">
        <v>91</v>
      </c>
      <c r="B100" s="46">
        <f t="shared" si="14"/>
        <v>1770.197465700378</v>
      </c>
      <c r="C100" s="48">
        <f t="shared" si="15"/>
        <v>423.91930171146794</v>
      </c>
      <c r="D100" s="48">
        <f t="shared" si="16"/>
        <v>1346.2781639889099</v>
      </c>
      <c r="E100" s="48">
        <f t="shared" si="17"/>
        <v>44899.463840898505</v>
      </c>
    </row>
    <row r="101" spans="1:5">
      <c r="A101" s="2">
        <v>92</v>
      </c>
      <c r="B101" s="46">
        <f t="shared" si="14"/>
        <v>1770.197465700378</v>
      </c>
      <c r="C101" s="48">
        <f t="shared" si="15"/>
        <v>411.57841854156965</v>
      </c>
      <c r="D101" s="48">
        <f t="shared" si="16"/>
        <v>1358.6190471588084</v>
      </c>
      <c r="E101" s="48">
        <f t="shared" si="17"/>
        <v>43540.8447937397</v>
      </c>
    </row>
    <row r="102" spans="1:5">
      <c r="A102" s="2">
        <v>93</v>
      </c>
      <c r="B102" s="46">
        <f t="shared" si="14"/>
        <v>1770.197465700378</v>
      </c>
      <c r="C102" s="48">
        <f t="shared" si="15"/>
        <v>399.12441060928057</v>
      </c>
      <c r="D102" s="48">
        <f t="shared" si="16"/>
        <v>1371.0730550910973</v>
      </c>
      <c r="E102" s="48">
        <f t="shared" si="17"/>
        <v>42169.771738648604</v>
      </c>
    </row>
    <row r="103" spans="1:5">
      <c r="A103" s="2">
        <v>94</v>
      </c>
      <c r="B103" s="46">
        <f t="shared" si="14"/>
        <v>1770.197465700378</v>
      </c>
      <c r="C103" s="48">
        <f t="shared" si="15"/>
        <v>386.55624093761219</v>
      </c>
      <c r="D103" s="48">
        <f t="shared" si="16"/>
        <v>1383.6412247627659</v>
      </c>
      <c r="E103" s="48">
        <f t="shared" si="17"/>
        <v>40786.130513885837</v>
      </c>
    </row>
    <row r="104" spans="1:5">
      <c r="A104" s="2">
        <v>95</v>
      </c>
      <c r="B104" s="46">
        <f t="shared" si="14"/>
        <v>1770.197465700378</v>
      </c>
      <c r="C104" s="48">
        <f t="shared" si="15"/>
        <v>373.87286304395349</v>
      </c>
      <c r="D104" s="48">
        <f t="shared" si="16"/>
        <v>1396.3246026564245</v>
      </c>
      <c r="E104" s="48">
        <f t="shared" si="17"/>
        <v>39389.805911229414</v>
      </c>
    </row>
    <row r="105" spans="1:5">
      <c r="A105" s="2">
        <v>96</v>
      </c>
      <c r="B105" s="46">
        <f t="shared" si="14"/>
        <v>1770.197465700378</v>
      </c>
      <c r="C105" s="48">
        <f t="shared" si="15"/>
        <v>361.07322085293629</v>
      </c>
      <c r="D105" s="48">
        <f t="shared" si="16"/>
        <v>1409.1242448474418</v>
      </c>
      <c r="E105" s="48">
        <f t="shared" si="17"/>
        <v>37980.68166638197</v>
      </c>
    </row>
    <row r="106" spans="1:5">
      <c r="A106" s="2">
        <v>97</v>
      </c>
      <c r="B106" s="46">
        <f t="shared" ref="B106:B129" si="18">$J$11</f>
        <v>1770.197465700378</v>
      </c>
      <c r="C106" s="48">
        <f t="shared" ref="C106:C129" si="19">E105*$J$9</f>
        <v>348.15624860850141</v>
      </c>
      <c r="D106" s="48">
        <f t="shared" si="16"/>
        <v>1422.0412170918767</v>
      </c>
      <c r="E106" s="48">
        <f t="shared" si="17"/>
        <v>36558.640449290091</v>
      </c>
    </row>
    <row r="107" spans="1:5">
      <c r="A107" s="2">
        <v>98</v>
      </c>
      <c r="B107" s="46">
        <f t="shared" si="18"/>
        <v>1770.197465700378</v>
      </c>
      <c r="C107" s="48">
        <f t="shared" si="19"/>
        <v>335.12087078515918</v>
      </c>
      <c r="D107" s="48">
        <f t="shared" si="16"/>
        <v>1435.0765949152187</v>
      </c>
      <c r="E107" s="48">
        <f t="shared" si="17"/>
        <v>35123.563854374872</v>
      </c>
    </row>
    <row r="108" spans="1:5">
      <c r="A108" s="2">
        <v>99</v>
      </c>
      <c r="B108" s="46">
        <f t="shared" si="18"/>
        <v>1770.197465700378</v>
      </c>
      <c r="C108" s="48">
        <f t="shared" si="19"/>
        <v>321.96600199843635</v>
      </c>
      <c r="D108" s="48">
        <f t="shared" si="16"/>
        <v>1448.2314637019417</v>
      </c>
      <c r="E108" s="48">
        <f t="shared" si="17"/>
        <v>33675.332390672927</v>
      </c>
    </row>
    <row r="109" spans="1:5">
      <c r="A109" s="2">
        <v>100</v>
      </c>
      <c r="B109" s="46">
        <f t="shared" si="18"/>
        <v>1770.197465700378</v>
      </c>
      <c r="C109" s="48">
        <f t="shared" si="19"/>
        <v>308.69054691450185</v>
      </c>
      <c r="D109" s="48">
        <f t="shared" si="16"/>
        <v>1461.5069187858762</v>
      </c>
      <c r="E109" s="48">
        <f t="shared" si="17"/>
        <v>32213.825471887052</v>
      </c>
    </row>
    <row r="110" spans="1:5">
      <c r="A110" s="2">
        <v>101</v>
      </c>
      <c r="B110" s="46">
        <f t="shared" si="18"/>
        <v>1770.197465700378</v>
      </c>
      <c r="C110" s="48">
        <f t="shared" si="19"/>
        <v>295.29340015896463</v>
      </c>
      <c r="D110" s="48">
        <f t="shared" si="16"/>
        <v>1474.9040655414133</v>
      </c>
      <c r="E110" s="48">
        <f t="shared" si="17"/>
        <v>30738.921406345638</v>
      </c>
    </row>
    <row r="111" spans="1:5">
      <c r="A111" s="2">
        <v>102</v>
      </c>
      <c r="B111" s="46">
        <f t="shared" si="18"/>
        <v>1770.197465700378</v>
      </c>
      <c r="C111" s="48">
        <f t="shared" si="19"/>
        <v>281.77344622483503</v>
      </c>
      <c r="D111" s="48">
        <f t="shared" si="16"/>
        <v>1488.424019475543</v>
      </c>
      <c r="E111" s="48">
        <f t="shared" si="17"/>
        <v>29250.497386870094</v>
      </c>
    </row>
    <row r="112" spans="1:5">
      <c r="A112" s="2">
        <v>103</v>
      </c>
      <c r="B112" s="46">
        <f t="shared" si="18"/>
        <v>1770.197465700378</v>
      </c>
      <c r="C112" s="48">
        <f t="shared" si="19"/>
        <v>268.12955937964256</v>
      </c>
      <c r="D112" s="48">
        <f t="shared" si="16"/>
        <v>1502.0679063207353</v>
      </c>
      <c r="E112" s="48">
        <f t="shared" si="17"/>
        <v>27748.429480549359</v>
      </c>
    </row>
    <row r="113" spans="1:5">
      <c r="A113" s="2">
        <v>104</v>
      </c>
      <c r="B113" s="46">
        <f t="shared" si="18"/>
        <v>1770.197465700378</v>
      </c>
      <c r="C113" s="48">
        <f t="shared" si="19"/>
        <v>254.36060357170246</v>
      </c>
      <c r="D113" s="48">
        <f t="shared" si="16"/>
        <v>1515.8368621286754</v>
      </c>
      <c r="E113" s="48">
        <f t="shared" si="17"/>
        <v>26232.592618420684</v>
      </c>
    </row>
    <row r="114" spans="1:5">
      <c r="A114" s="2">
        <v>105</v>
      </c>
      <c r="B114" s="46">
        <f t="shared" si="18"/>
        <v>1770.197465700378</v>
      </c>
      <c r="C114" s="48">
        <f t="shared" si="19"/>
        <v>240.46543233552293</v>
      </c>
      <c r="D114" s="48">
        <f t="shared" si="16"/>
        <v>1529.7320333648549</v>
      </c>
      <c r="E114" s="48">
        <f t="shared" si="17"/>
        <v>24702.860585055831</v>
      </c>
    </row>
    <row r="115" spans="1:5">
      <c r="A115" s="2">
        <v>106</v>
      </c>
      <c r="B115" s="46">
        <f t="shared" si="18"/>
        <v>1770.197465700378</v>
      </c>
      <c r="C115" s="48">
        <f t="shared" si="19"/>
        <v>226.44288869634511</v>
      </c>
      <c r="D115" s="48">
        <f t="shared" si="16"/>
        <v>1543.7545770040329</v>
      </c>
      <c r="E115" s="48">
        <f t="shared" si="17"/>
        <v>23159.106008051796</v>
      </c>
    </row>
    <row r="116" spans="1:5">
      <c r="A116" s="2">
        <v>107</v>
      </c>
      <c r="B116" s="46">
        <f t="shared" si="18"/>
        <v>1770.197465700378</v>
      </c>
      <c r="C116" s="48">
        <f t="shared" si="19"/>
        <v>212.29180507380812</v>
      </c>
      <c r="D116" s="48">
        <f t="shared" si="16"/>
        <v>1557.9056606265699</v>
      </c>
      <c r="E116" s="48">
        <f t="shared" si="17"/>
        <v>21601.200347425227</v>
      </c>
    </row>
    <row r="117" spans="1:5">
      <c r="A117" s="2">
        <v>108</v>
      </c>
      <c r="B117" s="46">
        <f t="shared" si="18"/>
        <v>1770.197465700378</v>
      </c>
      <c r="C117" s="48">
        <f t="shared" si="19"/>
        <v>198.01100318473124</v>
      </c>
      <c r="D117" s="48">
        <f t="shared" si="16"/>
        <v>1572.1864625156468</v>
      </c>
      <c r="E117" s="48">
        <f t="shared" si="17"/>
        <v>20029.013884909582</v>
      </c>
    </row>
    <row r="118" spans="1:5">
      <c r="A118" s="2">
        <v>109</v>
      </c>
      <c r="B118" s="46">
        <f t="shared" si="18"/>
        <v>1770.197465700378</v>
      </c>
      <c r="C118" s="48">
        <f t="shared" si="19"/>
        <v>183.59929394500449</v>
      </c>
      <c r="D118" s="48">
        <f t="shared" si="16"/>
        <v>1586.5981717553734</v>
      </c>
      <c r="E118" s="48">
        <f t="shared" si="17"/>
        <v>18442.415713154209</v>
      </c>
    </row>
    <row r="119" spans="1:5">
      <c r="A119" s="2">
        <v>110</v>
      </c>
      <c r="B119" s="46">
        <f t="shared" si="18"/>
        <v>1770.197465700378</v>
      </c>
      <c r="C119" s="48">
        <f t="shared" si="19"/>
        <v>169.05547737058023</v>
      </c>
      <c r="D119" s="48">
        <f t="shared" si="16"/>
        <v>1601.1419883297976</v>
      </c>
      <c r="E119" s="48">
        <f t="shared" si="17"/>
        <v>16841.273724824412</v>
      </c>
    </row>
    <row r="120" spans="1:5">
      <c r="A120" s="2">
        <v>111</v>
      </c>
      <c r="B120" s="46">
        <f t="shared" si="18"/>
        <v>1770.197465700378</v>
      </c>
      <c r="C120" s="48">
        <f t="shared" si="19"/>
        <v>154.37834247755711</v>
      </c>
      <c r="D120" s="48">
        <f t="shared" si="16"/>
        <v>1615.819123222821</v>
      </c>
      <c r="E120" s="48">
        <f t="shared" si="17"/>
        <v>15225.454601601592</v>
      </c>
    </row>
    <row r="121" spans="1:5">
      <c r="A121" s="2">
        <v>112</v>
      </c>
      <c r="B121" s="46">
        <f t="shared" si="18"/>
        <v>1770.197465700378</v>
      </c>
      <c r="C121" s="48">
        <f t="shared" si="19"/>
        <v>139.56666718134792</v>
      </c>
      <c r="D121" s="48">
        <f t="shared" si="16"/>
        <v>1630.6307985190301</v>
      </c>
      <c r="E121" s="48">
        <f t="shared" si="17"/>
        <v>13594.823803082561</v>
      </c>
    </row>
    <row r="122" spans="1:5">
      <c r="A122" s="2">
        <v>113</v>
      </c>
      <c r="B122" s="46">
        <f t="shared" si="18"/>
        <v>1770.197465700378</v>
      </c>
      <c r="C122" s="48">
        <f t="shared" si="19"/>
        <v>124.61921819492348</v>
      </c>
      <c r="D122" s="48">
        <f t="shared" si="16"/>
        <v>1645.5782475054546</v>
      </c>
      <c r="E122" s="48">
        <f t="shared" si="17"/>
        <v>11949.245555577107</v>
      </c>
    </row>
    <row r="123" spans="1:5">
      <c r="A123" s="2">
        <v>114</v>
      </c>
      <c r="B123" s="46">
        <f t="shared" si="18"/>
        <v>1770.197465700378</v>
      </c>
      <c r="C123" s="48">
        <f t="shared" si="19"/>
        <v>109.53475092612348</v>
      </c>
      <c r="D123" s="48">
        <f t="shared" si="16"/>
        <v>1660.6627147742545</v>
      </c>
      <c r="E123" s="48">
        <f t="shared" si="17"/>
        <v>10288.582840802852</v>
      </c>
    </row>
    <row r="124" spans="1:5">
      <c r="A124" s="2">
        <v>115</v>
      </c>
      <c r="B124" s="46">
        <f t="shared" si="18"/>
        <v>1770.197465700378</v>
      </c>
      <c r="C124" s="48">
        <f t="shared" si="19"/>
        <v>94.312009374026147</v>
      </c>
      <c r="D124" s="48">
        <f t="shared" si="16"/>
        <v>1675.8854563263519</v>
      </c>
      <c r="E124" s="48">
        <f t="shared" si="17"/>
        <v>8612.6973844764998</v>
      </c>
    </row>
    <row r="125" spans="1:5">
      <c r="A125" s="2">
        <v>116</v>
      </c>
      <c r="B125" s="46">
        <f t="shared" si="18"/>
        <v>1770.197465700378</v>
      </c>
      <c r="C125" s="48">
        <f t="shared" si="19"/>
        <v>78.949726024367919</v>
      </c>
      <c r="D125" s="48">
        <f t="shared" si="16"/>
        <v>1691.24773967601</v>
      </c>
      <c r="E125" s="48">
        <f t="shared" si="17"/>
        <v>6921.4496448004902</v>
      </c>
    </row>
    <row r="126" spans="1:5">
      <c r="A126" s="2">
        <v>117</v>
      </c>
      <c r="B126" s="46">
        <f t="shared" si="18"/>
        <v>1770.197465700378</v>
      </c>
      <c r="C126" s="48">
        <f t="shared" si="19"/>
        <v>63.446621744004496</v>
      </c>
      <c r="D126" s="48">
        <f t="shared" si="16"/>
        <v>1706.7508439563735</v>
      </c>
      <c r="E126" s="48">
        <f t="shared" si="17"/>
        <v>5214.6988008441167</v>
      </c>
    </row>
    <row r="127" spans="1:5">
      <c r="A127" s="2">
        <v>118</v>
      </c>
      <c r="B127" s="46">
        <f t="shared" si="18"/>
        <v>1770.197465700378</v>
      </c>
      <c r="C127" s="48">
        <f t="shared" si="19"/>
        <v>47.801405674404407</v>
      </c>
      <c r="D127" s="48">
        <f t="shared" si="16"/>
        <v>1722.3960600259736</v>
      </c>
      <c r="E127" s="48">
        <f t="shared" si="17"/>
        <v>3492.3027408181433</v>
      </c>
    </row>
    <row r="128" spans="1:5">
      <c r="A128" s="2">
        <v>119</v>
      </c>
      <c r="B128" s="46">
        <f t="shared" si="18"/>
        <v>1770.197465700378</v>
      </c>
      <c r="C128" s="48">
        <f t="shared" si="19"/>
        <v>32.012775124166311</v>
      </c>
      <c r="D128" s="48">
        <f t="shared" si="16"/>
        <v>1738.1846905762116</v>
      </c>
      <c r="E128" s="48">
        <f t="shared" si="17"/>
        <v>1754.1180502419318</v>
      </c>
    </row>
    <row r="129" spans="1:5">
      <c r="A129" s="2">
        <v>120</v>
      </c>
      <c r="B129" s="46">
        <f t="shared" si="18"/>
        <v>1770.197465700378</v>
      </c>
      <c r="C129" s="48">
        <f t="shared" si="19"/>
        <v>16.07941546055104</v>
      </c>
      <c r="D129" s="48">
        <f t="shared" si="16"/>
        <v>1754.118050239827</v>
      </c>
      <c r="E129" s="133">
        <f>E128-D129</f>
        <v>2.1047981135779992E-9</v>
      </c>
    </row>
    <row r="130" spans="1:5">
      <c r="A130" s="12" t="s">
        <v>22</v>
      </c>
      <c r="B130" s="134">
        <f>SUM(B10:B129)</f>
        <v>212423.69588404574</v>
      </c>
      <c r="C130" s="134">
        <f>SUM(C10:C129)</f>
        <v>83915.723427409976</v>
      </c>
      <c r="D130" s="134">
        <f>SUM(D10:D129)</f>
        <v>128507.97245663533</v>
      </c>
    </row>
  </sheetData>
  <mergeCells count="5">
    <mergeCell ref="A2:A3"/>
    <mergeCell ref="A1:C1"/>
    <mergeCell ref="A7:E7"/>
    <mergeCell ref="G30:K30"/>
    <mergeCell ref="E5:F5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2:M54"/>
  <sheetViews>
    <sheetView topLeftCell="A26" zoomScale="90" zoomScaleNormal="90" workbookViewId="0">
      <selection activeCell="D57" sqref="D57"/>
    </sheetView>
  </sheetViews>
  <sheetFormatPr baseColWidth="10" defaultColWidth="21.7109375" defaultRowHeight="14.25"/>
  <cols>
    <col min="1" max="1" width="42.7109375" style="51" customWidth="1"/>
    <col min="2" max="2" width="18.5703125" style="51" customWidth="1"/>
    <col min="3" max="3" width="16.85546875" style="51" customWidth="1"/>
    <col min="4" max="4" width="20.42578125" style="51" customWidth="1"/>
    <col min="5" max="5" width="19" style="51" customWidth="1"/>
    <col min="6" max="6" width="18.42578125" style="51" customWidth="1"/>
    <col min="7" max="16384" width="21.7109375" style="51"/>
  </cols>
  <sheetData>
    <row r="2" spans="1:12">
      <c r="D2" s="421" t="s">
        <v>211</v>
      </c>
      <c r="E2" s="53">
        <v>0.15</v>
      </c>
    </row>
    <row r="3" spans="1:12">
      <c r="D3" s="421"/>
    </row>
    <row r="4" spans="1:12" ht="15">
      <c r="A4" s="422"/>
      <c r="B4" s="422"/>
      <c r="C4" s="243"/>
    </row>
    <row r="5" spans="1:12" ht="15">
      <c r="A5" s="422"/>
      <c r="B5" s="422"/>
      <c r="C5" s="243"/>
      <c r="D5" s="51" t="s">
        <v>212</v>
      </c>
      <c r="E5" s="53">
        <v>0.25</v>
      </c>
    </row>
    <row r="6" spans="1:12" ht="15">
      <c r="A6" s="423"/>
      <c r="B6" s="423"/>
      <c r="C6" s="244"/>
    </row>
    <row r="10" spans="1:12">
      <c r="A10" s="58" t="s">
        <v>182</v>
      </c>
      <c r="B10" s="59">
        <f>'cf y cv'!C47</f>
        <v>0.3</v>
      </c>
      <c r="D10" s="70"/>
    </row>
    <row r="11" spans="1:12">
      <c r="A11" s="58" t="s">
        <v>174</v>
      </c>
      <c r="B11" s="60">
        <v>0.06</v>
      </c>
    </row>
    <row r="12" spans="1:12" ht="15">
      <c r="A12" s="120" t="s">
        <v>49</v>
      </c>
      <c r="B12" s="121">
        <v>0</v>
      </c>
      <c r="C12" s="121">
        <v>1</v>
      </c>
      <c r="D12" s="121">
        <v>2</v>
      </c>
      <c r="E12" s="121">
        <v>3</v>
      </c>
      <c r="F12" s="121">
        <v>4</v>
      </c>
      <c r="G12" s="121">
        <v>5</v>
      </c>
      <c r="H12" s="121">
        <v>6</v>
      </c>
      <c r="I12" s="121">
        <v>7</v>
      </c>
      <c r="J12" s="121">
        <v>8</v>
      </c>
      <c r="K12" s="121">
        <v>9</v>
      </c>
      <c r="L12" s="121">
        <v>10</v>
      </c>
    </row>
    <row r="13" spans="1:12">
      <c r="A13" s="58" t="s">
        <v>175</v>
      </c>
      <c r="B13" s="58"/>
      <c r="C13" s="99">
        <f>'DEMANDA PROYECTADA'!C6</f>
        <v>1621459.7608104001</v>
      </c>
      <c r="D13" s="99">
        <f>'DEMANDA PROYECTADA'!D6</f>
        <v>1718747.3464590241</v>
      </c>
      <c r="E13" s="99">
        <f>'DEMANDA PROYECTADA'!E6</f>
        <v>1821872.1872465655</v>
      </c>
      <c r="F13" s="99">
        <f>'DEMANDA PROYECTADA'!F6</f>
        <v>1931184.5184813596</v>
      </c>
      <c r="G13" s="99">
        <f>'DEMANDA PROYECTADA'!G6</f>
        <v>2047055.5895902414</v>
      </c>
      <c r="H13" s="99">
        <f>'DEMANDA PROYECTADA'!H6</f>
        <v>2169878.9249656559</v>
      </c>
      <c r="I13" s="99">
        <f>'DEMANDA PROYECTADA'!I6</f>
        <v>2300071.6604635958</v>
      </c>
      <c r="J13" s="99">
        <f>'DEMANDA PROYECTADA'!J6</f>
        <v>2438075.9600914116</v>
      </c>
      <c r="K13" s="99">
        <f>'DEMANDA PROYECTADA'!K6</f>
        <v>2584360.5176968966</v>
      </c>
      <c r="L13" s="99">
        <f>'DEMANDA PROYECTADA'!L6</f>
        <v>2739422.1487587104</v>
      </c>
    </row>
    <row r="14" spans="1:12" ht="15">
      <c r="A14" s="117" t="s">
        <v>176</v>
      </c>
      <c r="B14" s="58"/>
      <c r="C14" s="100">
        <f>C13*$B$10</f>
        <v>486437.92824312003</v>
      </c>
      <c r="D14" s="100">
        <f t="shared" ref="D14:L14" si="0">D13*$B$10</f>
        <v>515624.20393770724</v>
      </c>
      <c r="E14" s="100">
        <f t="shared" si="0"/>
        <v>546561.65617396962</v>
      </c>
      <c r="F14" s="100">
        <f t="shared" si="0"/>
        <v>579355.35554440785</v>
      </c>
      <c r="G14" s="100">
        <f t="shared" si="0"/>
        <v>614116.67687707243</v>
      </c>
      <c r="H14" s="100">
        <f t="shared" si="0"/>
        <v>650963.67748969677</v>
      </c>
      <c r="I14" s="100">
        <f t="shared" si="0"/>
        <v>690021.49813907873</v>
      </c>
      <c r="J14" s="100">
        <f t="shared" si="0"/>
        <v>731422.78802742343</v>
      </c>
      <c r="K14" s="100">
        <f t="shared" si="0"/>
        <v>775308.15530906897</v>
      </c>
      <c r="L14" s="100">
        <f t="shared" si="0"/>
        <v>821826.64462761313</v>
      </c>
    </row>
    <row r="15" spans="1:12">
      <c r="A15" s="58"/>
      <c r="B15" s="58"/>
      <c r="C15" s="58"/>
      <c r="D15" s="58"/>
      <c r="E15" s="58"/>
      <c r="F15" s="58"/>
      <c r="G15" s="58"/>
      <c r="H15" s="58"/>
      <c r="I15" s="58"/>
      <c r="J15" s="58"/>
      <c r="K15" s="58"/>
      <c r="L15" s="58"/>
    </row>
    <row r="16" spans="1:12" ht="15">
      <c r="A16" s="117" t="s">
        <v>293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</row>
    <row r="17" spans="1:12">
      <c r="A17" s="58" t="s">
        <v>177</v>
      </c>
      <c r="B17" s="58"/>
      <c r="C17" s="101">
        <f>'cf y cv'!$B$28</f>
        <v>7.6160088506039701E-4</v>
      </c>
      <c r="D17" s="101">
        <f>'cf y cv'!$B$28</f>
        <v>7.6160088506039701E-4</v>
      </c>
      <c r="E17" s="101">
        <f>'cf y cv'!$B$28</f>
        <v>7.6160088506039701E-4</v>
      </c>
      <c r="F17" s="101">
        <f>'cf y cv'!$B$28</f>
        <v>7.6160088506039701E-4</v>
      </c>
      <c r="G17" s="101">
        <f>'cf y cv'!$B$28</f>
        <v>7.6160088506039701E-4</v>
      </c>
      <c r="H17" s="101">
        <f>'cf y cv'!$B$28</f>
        <v>7.6160088506039701E-4</v>
      </c>
      <c r="I17" s="101">
        <f>'cf y cv'!$B$28</f>
        <v>7.6160088506039701E-4</v>
      </c>
      <c r="J17" s="101">
        <f>'cf y cv'!$B$28</f>
        <v>7.6160088506039701E-4</v>
      </c>
      <c r="K17" s="101">
        <f>'cf y cv'!$B$28</f>
        <v>7.6160088506039701E-4</v>
      </c>
      <c r="L17" s="101">
        <f>'cf y cv'!$B$28</f>
        <v>7.6160088506039701E-4</v>
      </c>
    </row>
    <row r="18" spans="1:12">
      <c r="A18" s="58" t="s">
        <v>178</v>
      </c>
      <c r="B18" s="58">
        <v>20</v>
      </c>
      <c r="C18" s="102">
        <f>C13*$B$18</f>
        <v>32429195.216208003</v>
      </c>
      <c r="D18" s="103">
        <f t="shared" ref="D18:L18" si="1">D13*$B$18</f>
        <v>34374946.929180481</v>
      </c>
      <c r="E18" s="103">
        <f t="shared" si="1"/>
        <v>36437443.74493131</v>
      </c>
      <c r="F18" s="103">
        <f t="shared" si="1"/>
        <v>38623690.369627193</v>
      </c>
      <c r="G18" s="103">
        <f t="shared" si="1"/>
        <v>40941111.791804828</v>
      </c>
      <c r="H18" s="103">
        <f t="shared" si="1"/>
        <v>43397578.499313116</v>
      </c>
      <c r="I18" s="103">
        <f t="shared" si="1"/>
        <v>46001433.209271915</v>
      </c>
      <c r="J18" s="103">
        <f t="shared" si="1"/>
        <v>48761519.201828234</v>
      </c>
      <c r="K18" s="103">
        <f t="shared" si="1"/>
        <v>51687210.353937931</v>
      </c>
      <c r="L18" s="103">
        <f t="shared" si="1"/>
        <v>54788442.975174204</v>
      </c>
    </row>
    <row r="19" spans="1:12">
      <c r="A19" s="58" t="s">
        <v>179</v>
      </c>
      <c r="B19" s="104">
        <v>4.4999999999999998E-2</v>
      </c>
      <c r="C19" s="59">
        <f>(C18*$B$19)*C17</f>
        <v>1111.4146700307183</v>
      </c>
      <c r="D19" s="59">
        <f t="shared" ref="D19:L19" si="2">(D18*$B$19)*D17</f>
        <v>1178.0995502325613</v>
      </c>
      <c r="E19" s="59">
        <f t="shared" si="2"/>
        <v>1248.7855232465149</v>
      </c>
      <c r="F19" s="59">
        <f t="shared" si="2"/>
        <v>1323.712654641306</v>
      </c>
      <c r="G19" s="59">
        <f t="shared" si="2"/>
        <v>1403.1354139197845</v>
      </c>
      <c r="H19" s="59">
        <f t="shared" si="2"/>
        <v>1487.3235387549714</v>
      </c>
      <c r="I19" s="59">
        <f t="shared" si="2"/>
        <v>1576.5629510802703</v>
      </c>
      <c r="J19" s="59">
        <f t="shared" si="2"/>
        <v>1671.1567281450866</v>
      </c>
      <c r="K19" s="59">
        <f t="shared" si="2"/>
        <v>1771.4261318337919</v>
      </c>
      <c r="L19" s="59">
        <f t="shared" si="2"/>
        <v>1877.7116997438193</v>
      </c>
    </row>
    <row r="20" spans="1:12">
      <c r="A20" s="58" t="s">
        <v>180</v>
      </c>
      <c r="B20" s="58"/>
      <c r="C20" s="59">
        <f>(C17*C18)+C19</f>
        <v>25809.518448491126</v>
      </c>
      <c r="D20" s="59">
        <f t="shared" ref="D20:I20" si="3">(D17*D18)+D19</f>
        <v>27358.089555400591</v>
      </c>
      <c r="E20" s="59">
        <f t="shared" si="3"/>
        <v>28999.574928724629</v>
      </c>
      <c r="F20" s="59">
        <f t="shared" si="3"/>
        <v>30739.549424448109</v>
      </c>
      <c r="G20" s="59">
        <f t="shared" si="3"/>
        <v>32583.922389914995</v>
      </c>
      <c r="H20" s="59">
        <f t="shared" si="3"/>
        <v>34538.957733309901</v>
      </c>
      <c r="I20" s="59">
        <f t="shared" si="3"/>
        <v>36611.2951973085</v>
      </c>
      <c r="J20" s="59">
        <f t="shared" ref="J20" si="4">(J17*J18)+J19</f>
        <v>38807.972909147014</v>
      </c>
      <c r="K20" s="59">
        <f t="shared" ref="K20" si="5">(K17*K18)+K19</f>
        <v>41136.451283695831</v>
      </c>
      <c r="L20" s="59">
        <f t="shared" ref="L20" si="6">(L17*L18)+L19</f>
        <v>43604.638360717589</v>
      </c>
    </row>
    <row r="21" spans="1:12" ht="15">
      <c r="A21" s="117" t="s">
        <v>181</v>
      </c>
      <c r="B21" s="58"/>
      <c r="C21" s="59">
        <f>C14-C20</f>
        <v>460628.40979462891</v>
      </c>
      <c r="D21" s="59">
        <f t="shared" ref="D21:L21" si="7">D14-D20</f>
        <v>488266.11438230664</v>
      </c>
      <c r="E21" s="59">
        <f t="shared" si="7"/>
        <v>517562.081245245</v>
      </c>
      <c r="F21" s="59">
        <f t="shared" si="7"/>
        <v>548615.8061199598</v>
      </c>
      <c r="G21" s="59">
        <f t="shared" si="7"/>
        <v>581532.75448715745</v>
      </c>
      <c r="H21" s="59">
        <f t="shared" si="7"/>
        <v>616424.71975638682</v>
      </c>
      <c r="I21" s="59">
        <f t="shared" si="7"/>
        <v>653410.2029417702</v>
      </c>
      <c r="J21" s="59">
        <f t="shared" si="7"/>
        <v>692614.8151182764</v>
      </c>
      <c r="K21" s="59">
        <f t="shared" si="7"/>
        <v>734171.7040253731</v>
      </c>
      <c r="L21" s="59">
        <f t="shared" si="7"/>
        <v>778222.00626689557</v>
      </c>
    </row>
    <row r="22" spans="1:12">
      <c r="A22" s="58"/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</row>
    <row r="23" spans="1:12" ht="15">
      <c r="A23" s="117" t="s">
        <v>183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</row>
    <row r="24" spans="1:12">
      <c r="A24" s="105" t="s">
        <v>184</v>
      </c>
      <c r="B24" s="58"/>
      <c r="C24" s="59">
        <f>'cf y cv'!$D$45*'flujo de caja'!C13</f>
        <v>105642.34296404681</v>
      </c>
      <c r="D24" s="59">
        <f>'cf y cv'!$D$45*'flujo de caja'!D13</f>
        <v>111980.88354188962</v>
      </c>
      <c r="E24" s="59">
        <f>'cf y cv'!$D$45*'flujo de caja'!E13</f>
        <v>118699.73655440299</v>
      </c>
      <c r="F24" s="59">
        <f>'cf y cv'!$D$45*'flujo de caja'!F13</f>
        <v>125821.72074766718</v>
      </c>
      <c r="G24" s="59">
        <f>'cf y cv'!$D$45*'flujo de caja'!G13</f>
        <v>133371.02399252722</v>
      </c>
      <c r="H24" s="59">
        <f>'cf y cv'!$D$45*'flujo de caja'!H13</f>
        <v>141373.28543207885</v>
      </c>
      <c r="I24" s="59">
        <f>'cf y cv'!$D$45*'flujo de caja'!I13</f>
        <v>149855.68255800361</v>
      </c>
      <c r="J24" s="59">
        <f>'cf y cv'!$D$45*'flujo de caja'!J13</f>
        <v>158847.02351148383</v>
      </c>
      <c r="K24" s="59">
        <f>'cf y cv'!$D$45*'flujo de caja'!K13</f>
        <v>168377.8449221729</v>
      </c>
      <c r="L24" s="59">
        <f>'cf y cv'!$D$45*'flujo de caja'!L13</f>
        <v>178480.51561750326</v>
      </c>
    </row>
    <row r="25" spans="1:12">
      <c r="A25" s="105" t="s">
        <v>185</v>
      </c>
      <c r="B25" s="58"/>
      <c r="C25" s="59">
        <f>'cf y cv'!$C$15</f>
        <v>301890</v>
      </c>
      <c r="D25" s="59">
        <f>'cf y cv'!$C$15</f>
        <v>301890</v>
      </c>
      <c r="E25" s="59">
        <f>'cf y cv'!$C$15</f>
        <v>301890</v>
      </c>
      <c r="F25" s="59">
        <f>'cf y cv'!$C$15</f>
        <v>301890</v>
      </c>
      <c r="G25" s="59">
        <f>'cf y cv'!$C$15</f>
        <v>301890</v>
      </c>
      <c r="H25" s="59">
        <f>'cf y cv'!$C$15</f>
        <v>301890</v>
      </c>
      <c r="I25" s="59">
        <f>'cf y cv'!$C$15</f>
        <v>301890</v>
      </c>
      <c r="J25" s="59">
        <f>'cf y cv'!$C$15</f>
        <v>301890</v>
      </c>
      <c r="K25" s="59">
        <f>'cf y cv'!$C$15</f>
        <v>301890</v>
      </c>
      <c r="L25" s="59">
        <f>'cf y cv'!$C$15</f>
        <v>301890</v>
      </c>
    </row>
    <row r="26" spans="1:12" ht="15">
      <c r="A26" s="118" t="s">
        <v>186</v>
      </c>
      <c r="B26" s="58"/>
      <c r="C26" s="59">
        <f>SUM(C24:C25)</f>
        <v>407532.34296404681</v>
      </c>
      <c r="D26" s="59">
        <f t="shared" ref="D26:L26" si="8">SUM(D24:D25)</f>
        <v>413870.88354188961</v>
      </c>
      <c r="E26" s="59">
        <f t="shared" si="8"/>
        <v>420589.73655440297</v>
      </c>
      <c r="F26" s="59">
        <f t="shared" si="8"/>
        <v>427711.72074766719</v>
      </c>
      <c r="G26" s="59">
        <f t="shared" si="8"/>
        <v>435261.02399252722</v>
      </c>
      <c r="H26" s="59">
        <f t="shared" si="8"/>
        <v>443263.28543207888</v>
      </c>
      <c r="I26" s="59">
        <f t="shared" si="8"/>
        <v>451745.68255800358</v>
      </c>
      <c r="J26" s="59">
        <f t="shared" si="8"/>
        <v>460737.0235114838</v>
      </c>
      <c r="K26" s="59">
        <f t="shared" si="8"/>
        <v>470267.8449221729</v>
      </c>
      <c r="L26" s="59">
        <f t="shared" si="8"/>
        <v>480370.51561750326</v>
      </c>
    </row>
    <row r="27" spans="1:12">
      <c r="A27" s="105"/>
      <c r="B27" s="58"/>
      <c r="C27" s="58"/>
      <c r="D27" s="58"/>
      <c r="E27" s="58"/>
      <c r="F27" s="58"/>
      <c r="G27" s="58"/>
      <c r="H27" s="58"/>
      <c r="I27" s="58"/>
      <c r="J27" s="58"/>
      <c r="K27" s="58"/>
      <c r="L27" s="58"/>
    </row>
    <row r="28" spans="1:12" ht="30" customHeight="1">
      <c r="A28" s="119" t="s">
        <v>209</v>
      </c>
      <c r="B28" s="106"/>
      <c r="C28" s="59">
        <f>C21-C26</f>
        <v>53096.066830582102</v>
      </c>
      <c r="D28" s="59">
        <f t="shared" ref="D28:L28" si="9">D21-D26</f>
        <v>74395.230840417033</v>
      </c>
      <c r="E28" s="59">
        <f t="shared" si="9"/>
        <v>96972.34469084203</v>
      </c>
      <c r="F28" s="59">
        <f t="shared" si="9"/>
        <v>120904.08537229261</v>
      </c>
      <c r="G28" s="59">
        <f t="shared" si="9"/>
        <v>146271.73049463023</v>
      </c>
      <c r="H28" s="59">
        <f t="shared" si="9"/>
        <v>173161.43432430795</v>
      </c>
      <c r="I28" s="59">
        <f t="shared" si="9"/>
        <v>201664.52038376662</v>
      </c>
      <c r="J28" s="59">
        <f t="shared" si="9"/>
        <v>231877.7916067926</v>
      </c>
      <c r="K28" s="59">
        <f t="shared" si="9"/>
        <v>263903.8591032002</v>
      </c>
      <c r="L28" s="59">
        <f t="shared" si="9"/>
        <v>297851.4906493923</v>
      </c>
    </row>
    <row r="29" spans="1:12">
      <c r="A29" s="105" t="s">
        <v>187</v>
      </c>
      <c r="B29" s="58"/>
      <c r="C29" s="59">
        <f>-'BALANCE Y VALOR DE DESECHO'!$L$11</f>
        <v>-19021</v>
      </c>
      <c r="D29" s="59">
        <f>-'BALANCE Y VALOR DE DESECHO'!$L$11</f>
        <v>-19021</v>
      </c>
      <c r="E29" s="59">
        <f>-'BALANCE Y VALOR DE DESECHO'!$L$11</f>
        <v>-19021</v>
      </c>
      <c r="F29" s="59">
        <f>-'BALANCE Y VALOR DE DESECHO'!$L$11</f>
        <v>-19021</v>
      </c>
      <c r="G29" s="59">
        <f>-'BALANCE Y VALOR DE DESECHO'!$L$11</f>
        <v>-19021</v>
      </c>
      <c r="H29" s="59">
        <f>-'BALANCE Y VALOR DE DESECHO'!$L$11</f>
        <v>-19021</v>
      </c>
      <c r="I29" s="59">
        <f>-'BALANCE Y VALOR DE DESECHO'!$L$11</f>
        <v>-19021</v>
      </c>
      <c r="J29" s="59">
        <f>-'BALANCE Y VALOR DE DESECHO'!$L$11</f>
        <v>-19021</v>
      </c>
      <c r="K29" s="59">
        <f>-'BALANCE Y VALOR DE DESECHO'!$L$11</f>
        <v>-19021</v>
      </c>
      <c r="L29" s="59">
        <f>-'BALANCE Y VALOR DE DESECHO'!$L$11</f>
        <v>-19021</v>
      </c>
    </row>
    <row r="30" spans="1:12" ht="15">
      <c r="A30" s="105" t="s">
        <v>188</v>
      </c>
      <c r="B30" s="58"/>
      <c r="C30" s="107">
        <f t="array" ref="C30:L30">TRANSPOSE(-'ESTRUCTURA FINANCIERA'!I33:I42)</f>
        <v>-13766.414541086182</v>
      </c>
      <c r="D30" s="107">
        <v>-12901.305723562771</v>
      </c>
      <c r="E30" s="107">
        <v>-11936.087520493335</v>
      </c>
      <c r="F30" s="107">
        <v>-10859.175390290264</v>
      </c>
      <c r="G30" s="107">
        <v>-9657.6442416955888</v>
      </c>
      <c r="H30" s="107">
        <v>-8317.0733069332382</v>
      </c>
      <c r="I30" s="107">
        <v>-6821.3730637630597</v>
      </c>
      <c r="J30" s="107">
        <v>-5152.5921291563318</v>
      </c>
      <c r="K30" s="107">
        <v>-3290.7018069321507</v>
      </c>
      <c r="L30" s="107">
        <v>-1213.3557034970572</v>
      </c>
    </row>
    <row r="31" spans="1:12">
      <c r="A31" s="109"/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</row>
    <row r="32" spans="1:12" ht="15">
      <c r="A32" s="118" t="s">
        <v>210</v>
      </c>
      <c r="B32" s="58"/>
      <c r="C32" s="59">
        <f>SUM(C28:C30)</f>
        <v>20308.65228949592</v>
      </c>
      <c r="D32" s="59">
        <f t="shared" ref="D32:L32" si="10">SUM(D28:D30)</f>
        <v>42472.925116854261</v>
      </c>
      <c r="E32" s="59">
        <f t="shared" si="10"/>
        <v>66015.25717034869</v>
      </c>
      <c r="F32" s="59">
        <f t="shared" si="10"/>
        <v>91023.90998200234</v>
      </c>
      <c r="G32" s="59">
        <f t="shared" si="10"/>
        <v>117593.08625293465</v>
      </c>
      <c r="H32" s="59">
        <f t="shared" si="10"/>
        <v>145823.3610173747</v>
      </c>
      <c r="I32" s="59">
        <f t="shared" si="10"/>
        <v>175822.14732000357</v>
      </c>
      <c r="J32" s="59">
        <f t="shared" si="10"/>
        <v>207704.19947763626</v>
      </c>
      <c r="K32" s="59">
        <f t="shared" si="10"/>
        <v>241592.15729626804</v>
      </c>
      <c r="L32" s="59">
        <f t="shared" si="10"/>
        <v>277617.13494589523</v>
      </c>
    </row>
    <row r="33" spans="1:13">
      <c r="A33" s="105" t="s">
        <v>191</v>
      </c>
      <c r="B33" s="58"/>
      <c r="C33" s="59">
        <f>-(C32*$E$2)</f>
        <v>-3046.2978434243878</v>
      </c>
      <c r="D33" s="59">
        <f t="shared" ref="D33:L33" si="11">-(D32*$E$2)</f>
        <v>-6370.9387675281387</v>
      </c>
      <c r="E33" s="59">
        <f t="shared" si="11"/>
        <v>-9902.2885755523039</v>
      </c>
      <c r="F33" s="59">
        <f t="shared" si="11"/>
        <v>-13653.58649730035</v>
      </c>
      <c r="G33" s="59">
        <f t="shared" si="11"/>
        <v>-17638.962937940196</v>
      </c>
      <c r="H33" s="59">
        <f t="shared" si="11"/>
        <v>-21873.504152606205</v>
      </c>
      <c r="I33" s="59">
        <f t="shared" si="11"/>
        <v>-26373.322098000535</v>
      </c>
      <c r="J33" s="59">
        <f t="shared" si="11"/>
        <v>-31155.629921645435</v>
      </c>
      <c r="K33" s="59">
        <f t="shared" si="11"/>
        <v>-36238.823594440204</v>
      </c>
      <c r="L33" s="59">
        <f t="shared" si="11"/>
        <v>-41642.570241884285</v>
      </c>
    </row>
    <row r="34" spans="1:13" ht="17.25" customHeight="1">
      <c r="A34" s="105" t="s">
        <v>192</v>
      </c>
      <c r="B34" s="58"/>
      <c r="C34" s="59">
        <f>-IF((C32+C33)&lt;=0,0,(C32+C33)*$E$5)</f>
        <v>-4315.5886115178828</v>
      </c>
      <c r="D34" s="59">
        <f t="shared" ref="D34:L34" si="12">-IF((D32+D33)&lt;=0,0,(D32+D33)*$E$5)</f>
        <v>-9025.4965873315305</v>
      </c>
      <c r="E34" s="59">
        <f t="shared" si="12"/>
        <v>-14028.242148699097</v>
      </c>
      <c r="F34" s="59">
        <f t="shared" si="12"/>
        <v>-19342.580871175498</v>
      </c>
      <c r="G34" s="59">
        <f t="shared" si="12"/>
        <v>-24988.530828748611</v>
      </c>
      <c r="H34" s="59">
        <f t="shared" si="12"/>
        <v>-30987.464216192122</v>
      </c>
      <c r="I34" s="59">
        <f t="shared" si="12"/>
        <v>-37362.20630550076</v>
      </c>
      <c r="J34" s="59">
        <f t="shared" si="12"/>
        <v>-44137.142388997701</v>
      </c>
      <c r="K34" s="59">
        <f t="shared" si="12"/>
        <v>-51338.333425456956</v>
      </c>
      <c r="L34" s="59">
        <f t="shared" si="12"/>
        <v>-58993.64117600274</v>
      </c>
    </row>
    <row r="35" spans="1:13">
      <c r="A35" s="105"/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</row>
    <row r="36" spans="1:13" ht="15">
      <c r="A36" s="118" t="s">
        <v>235</v>
      </c>
      <c r="B36" s="58"/>
      <c r="C36" s="59">
        <f>SUM(C32:C35)</f>
        <v>12946.765834553647</v>
      </c>
      <c r="D36" s="59">
        <f t="shared" ref="D36:L36" si="13">SUM(D32:D35)</f>
        <v>27076.489761994591</v>
      </c>
      <c r="E36" s="59">
        <f t="shared" si="13"/>
        <v>42084.726446097295</v>
      </c>
      <c r="F36" s="59">
        <f t="shared" si="13"/>
        <v>58027.742613526498</v>
      </c>
      <c r="G36" s="59">
        <f t="shared" si="13"/>
        <v>74965.592486245834</v>
      </c>
      <c r="H36" s="59">
        <f t="shared" si="13"/>
        <v>92962.392648576366</v>
      </c>
      <c r="I36" s="59">
        <f t="shared" si="13"/>
        <v>112086.61891650228</v>
      </c>
      <c r="J36" s="59">
        <f t="shared" si="13"/>
        <v>132411.42716699309</v>
      </c>
      <c r="K36" s="59">
        <f t="shared" si="13"/>
        <v>154015.00027637088</v>
      </c>
      <c r="L36" s="59">
        <f t="shared" si="13"/>
        <v>176980.92352800822</v>
      </c>
      <c r="M36" s="52"/>
    </row>
    <row r="37" spans="1:13">
      <c r="A37" s="105" t="s">
        <v>187</v>
      </c>
      <c r="B37" s="58"/>
      <c r="C37" s="59">
        <f>-C29</f>
        <v>19021</v>
      </c>
      <c r="D37" s="59">
        <f t="shared" ref="D37:L37" si="14">-D29</f>
        <v>19021</v>
      </c>
      <c r="E37" s="59">
        <f t="shared" si="14"/>
        <v>19021</v>
      </c>
      <c r="F37" s="59">
        <f t="shared" si="14"/>
        <v>19021</v>
      </c>
      <c r="G37" s="59">
        <f t="shared" si="14"/>
        <v>19021</v>
      </c>
      <c r="H37" s="59">
        <f t="shared" si="14"/>
        <v>19021</v>
      </c>
      <c r="I37" s="59">
        <f t="shared" si="14"/>
        <v>19021</v>
      </c>
      <c r="J37" s="59">
        <f t="shared" si="14"/>
        <v>19021</v>
      </c>
      <c r="K37" s="59">
        <f t="shared" si="14"/>
        <v>19021</v>
      </c>
      <c r="L37" s="59">
        <f t="shared" si="14"/>
        <v>19021</v>
      </c>
    </row>
    <row r="38" spans="1:13" ht="15">
      <c r="A38" s="118" t="s">
        <v>189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</row>
    <row r="39" spans="1:13">
      <c r="A39" s="105" t="s">
        <v>190</v>
      </c>
      <c r="B39" s="58"/>
      <c r="C39" s="59">
        <f>'calendario de inversión'!B31</f>
        <v>0</v>
      </c>
      <c r="D39" s="59">
        <f>'calendario de inversión'!C31</f>
        <v>0</v>
      </c>
      <c r="E39" s="59">
        <f>'calendario de inversión'!D31</f>
        <v>1959.75</v>
      </c>
      <c r="F39" s="59">
        <f>'calendario de inversión'!E31</f>
        <v>0</v>
      </c>
      <c r="G39" s="59">
        <f>'calendario de inversión'!F31</f>
        <v>13500</v>
      </c>
      <c r="H39" s="59">
        <f>'calendario de inversión'!G31</f>
        <v>1959.75</v>
      </c>
      <c r="I39" s="59">
        <f>'calendario de inversión'!H31</f>
        <v>0</v>
      </c>
      <c r="J39" s="59">
        <f>'calendario de inversión'!I31</f>
        <v>0</v>
      </c>
      <c r="K39" s="59">
        <f>'calendario de inversión'!J31</f>
        <v>1959.75</v>
      </c>
      <c r="L39" s="59">
        <f>'calendario de inversión'!K31</f>
        <v>13500</v>
      </c>
    </row>
    <row r="40" spans="1:13" ht="15">
      <c r="A40" s="118" t="s">
        <v>247</v>
      </c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</row>
    <row r="41" spans="1:13">
      <c r="A41" s="108" t="s">
        <v>208</v>
      </c>
      <c r="B41" s="58"/>
      <c r="C41" s="59">
        <f>-'calendario de inversión'!B22</f>
        <v>0</v>
      </c>
      <c r="D41" s="59">
        <f>-'calendario de inversión'!C22</f>
        <v>0</v>
      </c>
      <c r="E41" s="59">
        <f>-'calendario de inversión'!D22</f>
        <v>-7839</v>
      </c>
      <c r="F41" s="59">
        <f>-'calendario de inversión'!E22</f>
        <v>0</v>
      </c>
      <c r="G41" s="59">
        <f>-'calendario de inversión'!F22</f>
        <v>-54000</v>
      </c>
      <c r="H41" s="59">
        <f>-'calendario de inversión'!G22</f>
        <v>-7839</v>
      </c>
      <c r="I41" s="59">
        <f>-'calendario de inversión'!H22</f>
        <v>0</v>
      </c>
      <c r="J41" s="59">
        <f>-'calendario de inversión'!I22</f>
        <v>0</v>
      </c>
      <c r="K41" s="59">
        <f>-'calendario de inversión'!J22</f>
        <v>-7839</v>
      </c>
      <c r="L41" s="59">
        <f>-'calendario de inversión'!K22</f>
        <v>-54000</v>
      </c>
    </row>
    <row r="42" spans="1:13">
      <c r="A42" s="105" t="s">
        <v>254</v>
      </c>
      <c r="B42" s="59">
        <f>-'total inversión inicial'!B5</f>
        <v>-166239</v>
      </c>
      <c r="C42" s="58"/>
      <c r="D42" s="58"/>
      <c r="E42" s="58"/>
      <c r="F42" s="58"/>
      <c r="G42" s="58"/>
      <c r="H42" s="58"/>
      <c r="I42" s="58"/>
      <c r="J42" s="58"/>
      <c r="K42" s="58"/>
      <c r="L42" s="59">
        <f>'obras fisicas'!E15</f>
        <v>24000</v>
      </c>
    </row>
    <row r="43" spans="1:13">
      <c r="A43" s="105" t="s">
        <v>255</v>
      </c>
      <c r="B43" s="59">
        <f>-'total inversión inicial'!B3</f>
        <v>-5850</v>
      </c>
      <c r="C43" s="58"/>
      <c r="D43" s="58"/>
      <c r="E43" s="58"/>
      <c r="F43" s="58"/>
      <c r="G43" s="58"/>
      <c r="H43" s="58"/>
      <c r="I43" s="58"/>
      <c r="J43" s="58"/>
      <c r="K43" s="58"/>
      <c r="L43" s="58"/>
    </row>
    <row r="44" spans="1:13">
      <c r="A44" s="105" t="s">
        <v>193</v>
      </c>
      <c r="B44" s="59">
        <f>'ESTRUCTURA FINANCIERA'!E2</f>
        <v>128507.97245663748</v>
      </c>
      <c r="C44" s="58"/>
      <c r="D44" s="58"/>
      <c r="E44" s="58"/>
      <c r="F44" s="58"/>
      <c r="G44" s="58"/>
      <c r="H44" s="58"/>
      <c r="I44" s="58"/>
      <c r="J44" s="58"/>
      <c r="K44" s="58"/>
      <c r="L44" s="58"/>
    </row>
    <row r="45" spans="1:13">
      <c r="A45" s="105" t="s">
        <v>194</v>
      </c>
      <c r="B45" s="59"/>
      <c r="C45" s="110">
        <f t="array" ref="C45:L45">TRANSPOSE(-'ESTRUCTURA FINANCIERA'!J33:J42)</f>
        <v>-7475.9550473183517</v>
      </c>
      <c r="D45" s="110">
        <v>-8341.0638648417626</v>
      </c>
      <c r="E45" s="110">
        <v>-9306.2820679111992</v>
      </c>
      <c r="F45" s="110">
        <v>-10383.19419811427</v>
      </c>
      <c r="G45" s="110">
        <v>-11584.725346708945</v>
      </c>
      <c r="H45" s="110">
        <v>-12925.296281471296</v>
      </c>
      <c r="I45" s="110">
        <v>-14420.996524641474</v>
      </c>
      <c r="J45" s="110">
        <v>-16089.777459248202</v>
      </c>
      <c r="K45" s="110">
        <v>-17951.667781472384</v>
      </c>
      <c r="L45" s="110">
        <v>-20029.013884907476</v>
      </c>
    </row>
    <row r="46" spans="1:13">
      <c r="A46" s="105" t="s">
        <v>195</v>
      </c>
      <c r="B46" s="111">
        <f>'capital de trabajo'!B48</f>
        <v>-42090.954094395791</v>
      </c>
      <c r="C46" s="58"/>
      <c r="D46" s="58"/>
      <c r="E46" s="58"/>
      <c r="F46" s="58"/>
      <c r="G46" s="58"/>
      <c r="H46" s="58"/>
      <c r="I46" s="58"/>
      <c r="J46" s="58"/>
      <c r="K46" s="58"/>
      <c r="L46" s="59">
        <f>-B46</f>
        <v>42090.954094395791</v>
      </c>
    </row>
    <row r="47" spans="1:13">
      <c r="A47" s="105" t="s">
        <v>196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9">
        <f>'BALANCE Y VALOR DE DESECHO'!Q11</f>
        <v>53546</v>
      </c>
    </row>
    <row r="48" spans="1:13" ht="15">
      <c r="A48" s="112" t="s">
        <v>197</v>
      </c>
      <c r="B48" s="113">
        <f>SUM(B36:B47)</f>
        <v>-85671.981637758319</v>
      </c>
      <c r="C48" s="113">
        <f t="shared" ref="C48:D48" si="15">SUM(C36:C47)</f>
        <v>24491.810787235296</v>
      </c>
      <c r="D48" s="113">
        <f t="shared" si="15"/>
        <v>37756.425897152832</v>
      </c>
      <c r="E48" s="113">
        <f t="shared" ref="E48:L48" si="16">SUM(E36:E47)</f>
        <v>45920.194378186097</v>
      </c>
      <c r="F48" s="114">
        <f t="shared" si="16"/>
        <v>66665.548415412224</v>
      </c>
      <c r="G48" s="114">
        <f t="shared" si="16"/>
        <v>41901.867139536887</v>
      </c>
      <c r="H48" s="114">
        <f t="shared" si="16"/>
        <v>93178.84636710507</v>
      </c>
      <c r="I48" s="114">
        <f t="shared" si="16"/>
        <v>116686.6223918608</v>
      </c>
      <c r="J48" s="114">
        <f t="shared" si="16"/>
        <v>135342.64970774489</v>
      </c>
      <c r="K48" s="114">
        <f t="shared" si="16"/>
        <v>149205.0824948985</v>
      </c>
      <c r="L48" s="114">
        <f t="shared" si="16"/>
        <v>255109.86373749655</v>
      </c>
    </row>
    <row r="49" spans="1:12" ht="15">
      <c r="A49" s="49"/>
      <c r="B49" s="54"/>
      <c r="C49" s="52"/>
      <c r="D49" s="52"/>
      <c r="E49" s="52"/>
      <c r="F49" s="52"/>
      <c r="G49" s="52"/>
      <c r="H49" s="52"/>
      <c r="I49" s="52"/>
      <c r="J49" s="52"/>
      <c r="K49" s="52"/>
      <c r="L49" s="52"/>
    </row>
    <row r="50" spans="1:12" ht="15">
      <c r="A50" s="117" t="s">
        <v>216</v>
      </c>
      <c r="B50" s="115">
        <v>0.21</v>
      </c>
    </row>
    <row r="51" spans="1:12" ht="15">
      <c r="A51" s="117" t="s">
        <v>295</v>
      </c>
      <c r="B51" s="114">
        <f>NPV(B50,C48:L48)+B48</f>
        <v>188160.7296519943</v>
      </c>
      <c r="C51" s="424" t="s">
        <v>296</v>
      </c>
      <c r="D51" s="424"/>
      <c r="E51" s="424"/>
      <c r="F51" s="424"/>
      <c r="G51" s="424"/>
      <c r="H51" s="424"/>
      <c r="I51" s="424"/>
      <c r="J51" s="424"/>
      <c r="K51" s="424"/>
      <c r="L51" s="424"/>
    </row>
    <row r="52" spans="1:12" ht="15">
      <c r="A52" s="117" t="s">
        <v>213</v>
      </c>
      <c r="B52" s="116">
        <f>IRR(B48:L48)</f>
        <v>0.53464204793625281</v>
      </c>
    </row>
    <row r="54" spans="1:12">
      <c r="B54" s="52"/>
    </row>
  </sheetData>
  <mergeCells count="5">
    <mergeCell ref="D2:D3"/>
    <mergeCell ref="A5:B5"/>
    <mergeCell ref="A4:B4"/>
    <mergeCell ref="A6:B6"/>
    <mergeCell ref="C51:L51"/>
  </mergeCells>
  <pageMargins left="0.7" right="0.7" top="0.75" bottom="0.75" header="0.3" footer="0.3"/>
  <pageSetup paperSize="9" orientation="portrait" horizontalDpi="300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B1:L10"/>
  <sheetViews>
    <sheetView topLeftCell="E1" workbookViewId="0">
      <selection activeCell="B17" sqref="B17"/>
    </sheetView>
  </sheetViews>
  <sheetFormatPr baseColWidth="10" defaultRowHeight="15"/>
  <cols>
    <col min="1" max="1" width="11.42578125" style="32"/>
    <col min="2" max="2" width="22.140625" style="32" customWidth="1"/>
    <col min="3" max="3" width="16.5703125" style="32" customWidth="1"/>
    <col min="4" max="4" width="17" style="32" customWidth="1"/>
    <col min="5" max="5" width="13.85546875" style="32" customWidth="1"/>
    <col min="6" max="6" width="13.7109375" style="32" customWidth="1"/>
    <col min="7" max="7" width="13.28515625" style="32" customWidth="1"/>
    <col min="8" max="8" width="13.5703125" style="32" customWidth="1"/>
    <col min="9" max="10" width="13.28515625" style="32" customWidth="1"/>
    <col min="11" max="11" width="13" style="32" customWidth="1"/>
    <col min="12" max="12" width="15.140625" style="32" customWidth="1"/>
    <col min="13" max="16384" width="11.42578125" style="32"/>
  </cols>
  <sheetData>
    <row r="1" spans="2:12">
      <c r="B1" s="32" t="s">
        <v>297</v>
      </c>
    </row>
    <row r="2" spans="2:12">
      <c r="B2" s="32" t="s">
        <v>123</v>
      </c>
      <c r="C2" s="34">
        <v>6</v>
      </c>
      <c r="D2" s="32" t="s">
        <v>124</v>
      </c>
    </row>
    <row r="3" spans="2:12">
      <c r="C3" s="32" t="s">
        <v>125</v>
      </c>
    </row>
    <row r="4" spans="2:12">
      <c r="B4" s="355" t="s">
        <v>126</v>
      </c>
      <c r="C4" s="351">
        <v>1</v>
      </c>
      <c r="D4" s="351">
        <v>2</v>
      </c>
      <c r="E4" s="351">
        <v>3</v>
      </c>
      <c r="F4" s="351">
        <v>4</v>
      </c>
      <c r="G4" s="351">
        <v>5</v>
      </c>
      <c r="H4" s="143">
        <v>6</v>
      </c>
      <c r="I4" s="143">
        <v>7</v>
      </c>
      <c r="J4" s="143">
        <v>8</v>
      </c>
      <c r="K4" s="143">
        <v>9</v>
      </c>
      <c r="L4" s="143">
        <v>10</v>
      </c>
    </row>
    <row r="5" spans="2:12">
      <c r="B5" s="356" t="s">
        <v>127</v>
      </c>
      <c r="C5" s="352">
        <f>'[2]PROY. DEMAND'!F12</f>
        <v>4504.0548911400001</v>
      </c>
      <c r="D5" s="353">
        <f>C5*(1+$C$2%)</f>
        <v>4774.2981846084003</v>
      </c>
      <c r="E5" s="353">
        <f t="shared" ref="E5:L5" si="0">D5*(1+$C$2%)</f>
        <v>5060.7560756849043</v>
      </c>
      <c r="F5" s="353">
        <f t="shared" si="0"/>
        <v>5364.4014402259991</v>
      </c>
      <c r="G5" s="353">
        <f t="shared" si="0"/>
        <v>5686.2655266395595</v>
      </c>
      <c r="H5" s="35">
        <f t="shared" si="0"/>
        <v>6027.4414582379331</v>
      </c>
      <c r="I5" s="35">
        <f t="shared" si="0"/>
        <v>6389.0879457322098</v>
      </c>
      <c r="J5" s="35">
        <f t="shared" si="0"/>
        <v>6772.4332224761429</v>
      </c>
      <c r="K5" s="35">
        <f t="shared" si="0"/>
        <v>7178.7792158247121</v>
      </c>
      <c r="L5" s="35">
        <f t="shared" si="0"/>
        <v>7609.505968774195</v>
      </c>
    </row>
    <row r="6" spans="2:12">
      <c r="B6" s="356" t="s">
        <v>128</v>
      </c>
      <c r="C6" s="354">
        <f>C5*360</f>
        <v>1621459.7608104001</v>
      </c>
      <c r="D6" s="354">
        <f t="shared" ref="D6:L6" si="1">D5*360</f>
        <v>1718747.3464590241</v>
      </c>
      <c r="E6" s="354">
        <f t="shared" si="1"/>
        <v>1821872.1872465655</v>
      </c>
      <c r="F6" s="354">
        <f t="shared" si="1"/>
        <v>1931184.5184813596</v>
      </c>
      <c r="G6" s="354">
        <f t="shared" si="1"/>
        <v>2047055.5895902414</v>
      </c>
      <c r="H6" s="36">
        <f t="shared" si="1"/>
        <v>2169878.9249656559</v>
      </c>
      <c r="I6" s="36">
        <f t="shared" si="1"/>
        <v>2300071.6604635958</v>
      </c>
      <c r="J6" s="36">
        <f t="shared" si="1"/>
        <v>2438075.9600914116</v>
      </c>
      <c r="K6" s="36">
        <f t="shared" si="1"/>
        <v>2584360.5176968966</v>
      </c>
      <c r="L6" s="36">
        <f t="shared" si="1"/>
        <v>2739422.1487587104</v>
      </c>
    </row>
    <row r="8" spans="2:12">
      <c r="B8" s="32" t="s">
        <v>115</v>
      </c>
      <c r="C8" s="16">
        <f>C6/12</f>
        <v>135121.64673420001</v>
      </c>
    </row>
    <row r="10" spans="2:12">
      <c r="C10" s="168"/>
      <c r="D10" s="37"/>
    </row>
  </sheetData>
  <conditionalFormatting sqref="B4:G6 H5:L6 D6:L6">
    <cfRule type="dataBar" priority="1">
      <dataBar>
        <cfvo type="min" val="0"/>
        <cfvo type="max" val="0"/>
        <color rgb="FFD6007B"/>
      </dataBar>
    </cfRule>
  </conditionalFormatting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4:L55"/>
  <sheetViews>
    <sheetView topLeftCell="A28" workbookViewId="0">
      <selection activeCell="F39" sqref="F39"/>
    </sheetView>
  </sheetViews>
  <sheetFormatPr baseColWidth="10" defaultRowHeight="15"/>
  <cols>
    <col min="1" max="1" width="22.28515625" customWidth="1"/>
    <col min="2" max="2" width="13.5703125" customWidth="1"/>
    <col min="3" max="3" width="16.5703125" customWidth="1"/>
    <col min="4" max="4" width="18.85546875" customWidth="1"/>
    <col min="6" max="6" width="16.42578125" bestFit="1" customWidth="1"/>
    <col min="9" max="9" width="9.140625" customWidth="1"/>
    <col min="10" max="10" width="10.7109375" customWidth="1"/>
    <col min="11" max="11" width="20.85546875" customWidth="1"/>
  </cols>
  <sheetData>
    <row r="4" spans="1:10">
      <c r="A4" s="418" t="s">
        <v>64</v>
      </c>
      <c r="B4" s="418"/>
      <c r="C4" s="418"/>
    </row>
    <row r="5" spans="1:10">
      <c r="A5" s="15" t="s">
        <v>73</v>
      </c>
      <c r="B5" s="15" t="s">
        <v>74</v>
      </c>
      <c r="C5" s="15" t="s">
        <v>75</v>
      </c>
    </row>
    <row r="6" spans="1:10">
      <c r="A6" s="11" t="s">
        <v>65</v>
      </c>
      <c r="B6" s="11">
        <v>600</v>
      </c>
      <c r="C6" s="11">
        <f>B6*12</f>
        <v>7200</v>
      </c>
    </row>
    <row r="7" spans="1:10">
      <c r="A7" s="11" t="s">
        <v>76</v>
      </c>
      <c r="B7" s="30">
        <f>personal!M16</f>
        <v>10307.499999999998</v>
      </c>
      <c r="C7" s="11">
        <f>B7*12</f>
        <v>123689.99999999997</v>
      </c>
    </row>
    <row r="8" spans="1:10">
      <c r="A8" s="11" t="s">
        <v>66</v>
      </c>
      <c r="B8" s="11">
        <v>350</v>
      </c>
      <c r="C8" s="11">
        <f t="shared" ref="C8:C14" si="0">B8*12</f>
        <v>4200</v>
      </c>
    </row>
    <row r="9" spans="1:10">
      <c r="A9" s="11" t="s">
        <v>77</v>
      </c>
      <c r="B9" s="11">
        <v>750</v>
      </c>
      <c r="C9" s="11">
        <f>B9*12</f>
        <v>9000</v>
      </c>
    </row>
    <row r="10" spans="1:10">
      <c r="A10" s="11" t="s">
        <v>67</v>
      </c>
      <c r="B10" s="11">
        <v>300</v>
      </c>
      <c r="C10" s="11">
        <f t="shared" si="0"/>
        <v>3600</v>
      </c>
    </row>
    <row r="11" spans="1:10">
      <c r="A11" s="11" t="s">
        <v>69</v>
      </c>
      <c r="B11" s="11">
        <v>650</v>
      </c>
      <c r="C11" s="11">
        <f t="shared" si="0"/>
        <v>7800</v>
      </c>
    </row>
    <row r="12" spans="1:10">
      <c r="A12" s="11" t="s">
        <v>68</v>
      </c>
      <c r="B12" s="11">
        <v>800</v>
      </c>
      <c r="C12" s="11">
        <f t="shared" si="0"/>
        <v>9600</v>
      </c>
      <c r="D12" t="s">
        <v>71</v>
      </c>
    </row>
    <row r="13" spans="1:10">
      <c r="A13" s="11" t="s">
        <v>237</v>
      </c>
      <c r="B13" s="30">
        <v>900</v>
      </c>
      <c r="C13" s="11">
        <f>B13*12</f>
        <v>10800</v>
      </c>
    </row>
    <row r="14" spans="1:10" ht="27" customHeight="1">
      <c r="A14" s="11" t="s">
        <v>70</v>
      </c>
      <c r="B14" s="11">
        <v>10500</v>
      </c>
      <c r="C14" s="11">
        <f t="shared" si="0"/>
        <v>126000</v>
      </c>
      <c r="D14" s="425" t="s">
        <v>72</v>
      </c>
      <c r="E14" s="425"/>
      <c r="F14" s="425"/>
      <c r="G14" s="425"/>
      <c r="H14" s="425"/>
      <c r="I14" s="425"/>
      <c r="J14" s="425"/>
    </row>
    <row r="15" spans="1:10">
      <c r="A15" s="14" t="s">
        <v>22</v>
      </c>
      <c r="B15" s="57">
        <f>SUM(B6:B14)</f>
        <v>25157.5</v>
      </c>
      <c r="C15" s="57">
        <f>SUM(C6:C14)</f>
        <v>301890</v>
      </c>
    </row>
    <row r="16" spans="1:10">
      <c r="A16" s="427" t="s">
        <v>100</v>
      </c>
      <c r="B16" s="428"/>
      <c r="C16" s="246">
        <f>C15/'[2]DEMANDA PROYECTADA'!$C$6</f>
        <v>0.18618408380921916</v>
      </c>
      <c r="D16" s="145"/>
    </row>
    <row r="17" spans="1:12">
      <c r="A17" s="429" t="s">
        <v>256</v>
      </c>
      <c r="B17" s="429"/>
      <c r="C17" s="146">
        <f>D44</f>
        <v>7.4291825269174092E-2</v>
      </c>
    </row>
    <row r="18" spans="1:12">
      <c r="A18" s="429" t="s">
        <v>257</v>
      </c>
      <c r="B18" s="429"/>
      <c r="C18" s="147">
        <f>SUM(C16:C17)</f>
        <v>0.26047590907839324</v>
      </c>
    </row>
    <row r="24" spans="1:12">
      <c r="F24" s="98" t="s">
        <v>202</v>
      </c>
      <c r="G24" s="97">
        <v>453.59</v>
      </c>
      <c r="H24" s="97" t="s">
        <v>203</v>
      </c>
    </row>
    <row r="25" spans="1:12" ht="16.5" customHeight="1">
      <c r="F25" s="431" t="s">
        <v>82</v>
      </c>
      <c r="G25" s="432"/>
      <c r="H25" s="432"/>
      <c r="I25" s="432"/>
      <c r="J25" s="432"/>
      <c r="K25" s="155"/>
    </row>
    <row r="26" spans="1:12">
      <c r="A26" s="418" t="s">
        <v>81</v>
      </c>
      <c r="B26" s="418"/>
      <c r="C26" s="418"/>
      <c r="D26" s="13" t="s">
        <v>276</v>
      </c>
      <c r="F26" s="92" t="s">
        <v>198</v>
      </c>
      <c r="G26" s="92" t="s">
        <v>199</v>
      </c>
      <c r="H26" s="92" t="s">
        <v>200</v>
      </c>
      <c r="I26" s="92" t="s">
        <v>201</v>
      </c>
      <c r="J26" s="154" t="s">
        <v>204</v>
      </c>
      <c r="K26" s="92" t="s">
        <v>307</v>
      </c>
      <c r="L26" s="148"/>
    </row>
    <row r="27" spans="1:12">
      <c r="A27" s="12" t="s">
        <v>79</v>
      </c>
      <c r="B27" s="12" t="s">
        <v>84</v>
      </c>
      <c r="C27" s="12" t="s">
        <v>3</v>
      </c>
      <c r="D27" s="18"/>
      <c r="F27" s="12" t="s">
        <v>278</v>
      </c>
      <c r="G27" s="2">
        <v>110</v>
      </c>
      <c r="H27" s="4">
        <v>38</v>
      </c>
      <c r="I27" s="2">
        <f>G27*G24</f>
        <v>49894.899999999994</v>
      </c>
      <c r="J27" s="162">
        <f>H27/I27</f>
        <v>7.6160088506039701E-4</v>
      </c>
      <c r="K27" s="153">
        <f>J27*20</f>
        <v>1.5232017701207939E-2</v>
      </c>
    </row>
    <row r="28" spans="1:12">
      <c r="A28" s="11" t="s">
        <v>275</v>
      </c>
      <c r="B28" s="149">
        <f>J27</f>
        <v>7.6160088506039701E-4</v>
      </c>
      <c r="C28" s="11" t="s">
        <v>283</v>
      </c>
      <c r="D28" s="13"/>
      <c r="F28" s="12" t="s">
        <v>279</v>
      </c>
      <c r="G28" s="2">
        <v>110</v>
      </c>
      <c r="H28" s="4">
        <v>70</v>
      </c>
      <c r="I28" s="2">
        <f>$G$24*G28</f>
        <v>49894.899999999994</v>
      </c>
      <c r="J28" s="162">
        <f>H28/I28</f>
        <v>1.4029489987954682E-3</v>
      </c>
      <c r="K28" s="153">
        <f>J28*20</f>
        <v>2.8058979975909365E-2</v>
      </c>
    </row>
    <row r="29" spans="1:12">
      <c r="A29" s="11" t="s">
        <v>279</v>
      </c>
      <c r="B29" s="149">
        <f t="shared" ref="B29:B30" si="1">J28</f>
        <v>1.4029489987954682E-3</v>
      </c>
      <c r="C29" s="11" t="s">
        <v>284</v>
      </c>
      <c r="D29" s="13"/>
      <c r="F29" s="12" t="s">
        <v>280</v>
      </c>
      <c r="G29" s="2">
        <v>110</v>
      </c>
      <c r="H29" s="4">
        <v>40</v>
      </c>
      <c r="I29" s="2">
        <f>$G$24*G29</f>
        <v>49894.899999999994</v>
      </c>
      <c r="J29" s="162">
        <f>H29/I29</f>
        <v>8.0168514216883899E-4</v>
      </c>
      <c r="K29" s="153">
        <f t="shared" ref="K29:K30" si="2">J29*20</f>
        <v>1.6033702843376779E-2</v>
      </c>
    </row>
    <row r="30" spans="1:12" s="32" customFormat="1">
      <c r="A30" s="11" t="s">
        <v>280</v>
      </c>
      <c r="B30" s="149">
        <f t="shared" si="1"/>
        <v>8.0168514216883899E-4</v>
      </c>
      <c r="C30" s="11" t="s">
        <v>285</v>
      </c>
      <c r="D30" s="13"/>
      <c r="F30" s="12" t="s">
        <v>282</v>
      </c>
      <c r="G30" s="5">
        <v>10</v>
      </c>
      <c r="H30" s="6">
        <v>2.5</v>
      </c>
      <c r="I30" s="150">
        <f>$G$24*G30</f>
        <v>4535.8999999999996</v>
      </c>
      <c r="J30" s="162">
        <f>H30/I30</f>
        <v>5.5115853524107677E-4</v>
      </c>
      <c r="K30" s="153">
        <f t="shared" si="2"/>
        <v>1.1023170704821535E-2</v>
      </c>
    </row>
    <row r="31" spans="1:12" s="32" customFormat="1">
      <c r="A31" s="11" t="s">
        <v>281</v>
      </c>
      <c r="B31" s="151">
        <f>J30</f>
        <v>5.5115853524107677E-4</v>
      </c>
      <c r="C31" s="11" t="s">
        <v>286</v>
      </c>
      <c r="D31" s="13"/>
      <c r="J31" s="163"/>
    </row>
    <row r="32" spans="1:12">
      <c r="A32" s="11" t="s">
        <v>112</v>
      </c>
      <c r="B32" s="56">
        <f>I54</f>
        <v>3.1083102533984719E-2</v>
      </c>
      <c r="C32" s="11" t="s">
        <v>80</v>
      </c>
      <c r="D32" s="13"/>
    </row>
    <row r="33" spans="1:9">
      <c r="A33" s="11" t="s">
        <v>78</v>
      </c>
      <c r="B33" s="11">
        <v>8.9999999999999993E-3</v>
      </c>
      <c r="C33" s="11" t="s">
        <v>80</v>
      </c>
      <c r="D33" s="13"/>
    </row>
    <row r="35" spans="1:9" s="32" customFormat="1">
      <c r="A35" s="430" t="s">
        <v>151</v>
      </c>
      <c r="B35" s="430"/>
      <c r="C35" s="430"/>
      <c r="D35" s="430"/>
    </row>
    <row r="36" spans="1:9" ht="15" customHeight="1">
      <c r="A36" s="418" t="s">
        <v>277</v>
      </c>
      <c r="B36" s="418"/>
      <c r="C36" s="418"/>
      <c r="D36" s="418"/>
    </row>
    <row r="37" spans="1:9">
      <c r="A37" s="12" t="s">
        <v>1</v>
      </c>
      <c r="B37" s="12" t="s">
        <v>28</v>
      </c>
      <c r="C37" s="12" t="s">
        <v>83</v>
      </c>
      <c r="D37" s="12" t="s">
        <v>236</v>
      </c>
    </row>
    <row r="38" spans="1:9">
      <c r="A38" s="11" t="s">
        <v>275</v>
      </c>
      <c r="B38" s="11" t="s">
        <v>283</v>
      </c>
      <c r="C38" s="152">
        <f>B28</f>
        <v>7.6160088506039701E-4</v>
      </c>
      <c r="D38" s="152">
        <f>C38*12</f>
        <v>9.139210620724765E-3</v>
      </c>
    </row>
    <row r="39" spans="1:9" s="32" customFormat="1">
      <c r="A39" s="11" t="s">
        <v>279</v>
      </c>
      <c r="B39" s="11" t="s">
        <v>284</v>
      </c>
      <c r="C39" s="152">
        <f t="shared" ref="C39:C40" si="3">B29</f>
        <v>1.4029489987954682E-3</v>
      </c>
      <c r="D39" s="152">
        <f t="shared" ref="D39:D40" si="4">C39*12</f>
        <v>1.6835387985545618E-2</v>
      </c>
    </row>
    <row r="40" spans="1:9" s="32" customFormat="1">
      <c r="A40" s="11" t="s">
        <v>280</v>
      </c>
      <c r="B40" s="11" t="s">
        <v>285</v>
      </c>
      <c r="C40" s="152">
        <f t="shared" si="3"/>
        <v>8.0168514216883899E-4</v>
      </c>
      <c r="D40" s="152">
        <f t="shared" si="4"/>
        <v>9.6202217060260675E-3</v>
      </c>
    </row>
    <row r="41" spans="1:9" s="32" customFormat="1">
      <c r="A41" s="11" t="s">
        <v>281</v>
      </c>
      <c r="B41" s="11" t="s">
        <v>286</v>
      </c>
      <c r="C41" s="152">
        <f>B31</f>
        <v>5.5115853524107677E-4</v>
      </c>
      <c r="D41" s="152">
        <f>C41*12</f>
        <v>6.6139024228929217E-3</v>
      </c>
      <c r="G41" s="32" t="s">
        <v>289</v>
      </c>
    </row>
    <row r="42" spans="1:9">
      <c r="A42" s="11" t="s">
        <v>112</v>
      </c>
      <c r="B42" s="11" t="s">
        <v>80</v>
      </c>
      <c r="C42" s="56">
        <f>I54</f>
        <v>3.1083102533984719E-2</v>
      </c>
      <c r="D42" s="19">
        <f>I54</f>
        <v>3.1083102533984719E-2</v>
      </c>
    </row>
    <row r="43" spans="1:9">
      <c r="A43" s="11" t="s">
        <v>287</v>
      </c>
      <c r="B43" s="11" t="s">
        <v>80</v>
      </c>
      <c r="C43" s="19">
        <v>1E-3</v>
      </c>
      <c r="D43" s="11">
        <f>C43</f>
        <v>1E-3</v>
      </c>
    </row>
    <row r="44" spans="1:9">
      <c r="A44" s="426" t="s">
        <v>306</v>
      </c>
      <c r="B44" s="426"/>
      <c r="C44" s="426"/>
      <c r="D44" s="55">
        <f>SUM(D38:D43)</f>
        <v>7.4291825269174092E-2</v>
      </c>
    </row>
    <row r="45" spans="1:9">
      <c r="A45" s="434" t="s">
        <v>288</v>
      </c>
      <c r="B45" s="434"/>
      <c r="C45" s="434"/>
      <c r="D45" s="249">
        <f>D44-D38</f>
        <v>6.515261464844932E-2</v>
      </c>
    </row>
    <row r="46" spans="1:9">
      <c r="A46" s="435" t="s">
        <v>92</v>
      </c>
      <c r="B46" s="436"/>
      <c r="C46" s="248">
        <v>0.35</v>
      </c>
    </row>
    <row r="47" spans="1:9">
      <c r="A47" s="437" t="s">
        <v>101</v>
      </c>
      <c r="B47" s="438"/>
      <c r="C47" s="247">
        <v>0.3</v>
      </c>
    </row>
    <row r="48" spans="1:9">
      <c r="F48" s="418" t="s">
        <v>113</v>
      </c>
      <c r="G48" s="418"/>
      <c r="H48" s="418"/>
      <c r="I48" s="418"/>
    </row>
    <row r="49" spans="4:10" ht="15.75">
      <c r="D49" s="165"/>
      <c r="E49" s="166"/>
      <c r="F49" s="433" t="s">
        <v>114</v>
      </c>
      <c r="G49" s="433"/>
      <c r="H49" s="433"/>
      <c r="I49" s="433"/>
    </row>
    <row r="50" spans="4:10" ht="15.75">
      <c r="D50" s="165"/>
      <c r="E50" s="166"/>
      <c r="F50" s="429" t="s">
        <v>118</v>
      </c>
      <c r="G50" s="429"/>
      <c r="H50" s="429"/>
      <c r="I50" s="30">
        <f>'[2]DEMANDA PROYECTADA'!$C$5</f>
        <v>4504.0548911400001</v>
      </c>
    </row>
    <row r="51" spans="4:10" ht="15.75">
      <c r="D51" s="165"/>
      <c r="E51" s="166"/>
      <c r="F51" s="429" t="s">
        <v>115</v>
      </c>
      <c r="G51" s="429"/>
      <c r="H51" s="429"/>
      <c r="I51" s="30">
        <f>I50*20</f>
        <v>90081.097822800002</v>
      </c>
    </row>
    <row r="52" spans="4:10" ht="15.75">
      <c r="D52" s="167"/>
      <c r="E52" s="164"/>
      <c r="F52" s="429" t="s">
        <v>116</v>
      </c>
      <c r="G52" s="429"/>
      <c r="H52" s="429"/>
      <c r="I52" s="30">
        <f>I50*360</f>
        <v>1621459.7608104001</v>
      </c>
      <c r="J52" t="s">
        <v>119</v>
      </c>
    </row>
    <row r="53" spans="4:10" ht="15.75">
      <c r="D53" s="165"/>
      <c r="E53" s="166"/>
      <c r="F53" s="429" t="s">
        <v>298</v>
      </c>
      <c r="G53" s="429"/>
      <c r="H53" s="429"/>
      <c r="I53" s="11">
        <f>350*8</f>
        <v>2800</v>
      </c>
    </row>
    <row r="54" spans="4:10" ht="15.75">
      <c r="D54" s="165"/>
      <c r="E54" s="166"/>
      <c r="F54" s="426" t="s">
        <v>117</v>
      </c>
      <c r="G54" s="426"/>
      <c r="H54" s="426"/>
      <c r="I54" s="55">
        <f>I53/I51</f>
        <v>3.1083102533984719E-2</v>
      </c>
    </row>
    <row r="55" spans="4:10" ht="15.75">
      <c r="D55" s="165"/>
      <c r="E55" s="166"/>
    </row>
  </sheetData>
  <mergeCells count="20">
    <mergeCell ref="F54:H54"/>
    <mergeCell ref="A35:D35"/>
    <mergeCell ref="F25:J25"/>
    <mergeCell ref="F49:I49"/>
    <mergeCell ref="F50:H50"/>
    <mergeCell ref="F51:H51"/>
    <mergeCell ref="F52:H52"/>
    <mergeCell ref="F53:H53"/>
    <mergeCell ref="A45:C45"/>
    <mergeCell ref="A46:B46"/>
    <mergeCell ref="A47:B47"/>
    <mergeCell ref="D14:J14"/>
    <mergeCell ref="F48:I48"/>
    <mergeCell ref="A4:C4"/>
    <mergeCell ref="A26:C26"/>
    <mergeCell ref="A36:D36"/>
    <mergeCell ref="A44:C44"/>
    <mergeCell ref="A16:B16"/>
    <mergeCell ref="A17:B17"/>
    <mergeCell ref="A18:B18"/>
  </mergeCells>
  <pageMargins left="0.7" right="0.7" top="0.75" bottom="0.75" header="0.3" footer="0.3"/>
  <pageSetup paperSize="9" orientation="portrait" horizontalDpi="300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2:H14"/>
  <sheetViews>
    <sheetView tabSelected="1" workbookViewId="0">
      <selection activeCell="G9" sqref="G9"/>
    </sheetView>
  </sheetViews>
  <sheetFormatPr baseColWidth="10" defaultRowHeight="15"/>
  <cols>
    <col min="1" max="1" width="8.7109375" customWidth="1"/>
    <col min="2" max="2" width="16.28515625" customWidth="1"/>
    <col min="3" max="3" width="18.5703125" customWidth="1"/>
    <col min="4" max="4" width="16.7109375" customWidth="1"/>
    <col min="5" max="5" width="21.42578125" customWidth="1"/>
    <col min="6" max="6" width="25.5703125" customWidth="1"/>
    <col min="7" max="7" width="14.5703125" customWidth="1"/>
    <col min="8" max="8" width="14.140625" customWidth="1"/>
  </cols>
  <sheetData>
    <row r="2" spans="1:8">
      <c r="A2" s="418" t="s">
        <v>215</v>
      </c>
      <c r="B2" s="418"/>
      <c r="C2" s="418"/>
      <c r="D2" s="418"/>
      <c r="E2" s="418"/>
      <c r="F2" s="418"/>
    </row>
    <row r="3" spans="1:8">
      <c r="A3" s="12" t="s">
        <v>216</v>
      </c>
      <c r="B3" s="12" t="s">
        <v>217</v>
      </c>
      <c r="C3" s="12" t="s">
        <v>218</v>
      </c>
      <c r="D3" s="12" t="s">
        <v>219</v>
      </c>
      <c r="E3" s="12" t="s">
        <v>220</v>
      </c>
      <c r="F3" s="12" t="s">
        <v>221</v>
      </c>
    </row>
    <row r="4" spans="1:8">
      <c r="A4" s="135">
        <f>'flujo de caja'!B50</f>
        <v>0.21</v>
      </c>
      <c r="B4" s="11">
        <v>1</v>
      </c>
      <c r="C4" s="136">
        <f>-'flujo de caja'!B48</f>
        <v>85671.981637758319</v>
      </c>
      <c r="D4" s="136">
        <f t="array" ref="D4:D13">TRANSPOSE('flujo de caja'!C48:L48)</f>
        <v>24491.810787235296</v>
      </c>
      <c r="E4" s="136">
        <f>C4*$A$4</f>
        <v>17991.116143929245</v>
      </c>
      <c r="F4" s="136">
        <f>D4-E4</f>
        <v>6500.6946433060511</v>
      </c>
    </row>
    <row r="5" spans="1:8">
      <c r="A5" s="11"/>
      <c r="B5" s="137">
        <v>2</v>
      </c>
      <c r="C5" s="138">
        <f>C4-F4</f>
        <v>79171.286994452268</v>
      </c>
      <c r="D5" s="138">
        <v>37756.425897152832</v>
      </c>
      <c r="E5" s="138">
        <f>C5*$A$4</f>
        <v>16625.970268834975</v>
      </c>
      <c r="F5" s="138">
        <f t="shared" ref="F5:F13" si="0">D5-E5</f>
        <v>21130.455628317857</v>
      </c>
      <c r="G5" s="24"/>
    </row>
    <row r="6" spans="1:8">
      <c r="A6" s="11"/>
      <c r="B6" s="11">
        <v>3</v>
      </c>
      <c r="C6" s="136">
        <f t="shared" ref="C6:C13" si="1">C5-F5</f>
        <v>58040.831366134415</v>
      </c>
      <c r="D6" s="136">
        <v>45920.194378186097</v>
      </c>
      <c r="E6" s="136">
        <f t="shared" ref="E6:E13" si="2">C6*$A$4</f>
        <v>12188.574586888226</v>
      </c>
      <c r="F6" s="136">
        <f t="shared" si="0"/>
        <v>33731.619791297868</v>
      </c>
    </row>
    <row r="7" spans="1:8">
      <c r="A7" s="11"/>
      <c r="B7" s="449">
        <v>4</v>
      </c>
      <c r="C7" s="450">
        <f t="shared" si="1"/>
        <v>24309.211574836547</v>
      </c>
      <c r="D7" s="450">
        <v>66665.548415412224</v>
      </c>
      <c r="E7" s="450">
        <f t="shared" si="2"/>
        <v>5104.9344307156744</v>
      </c>
      <c r="F7" s="450">
        <f t="shared" si="0"/>
        <v>61560.613984696553</v>
      </c>
      <c r="G7" s="24"/>
    </row>
    <row r="8" spans="1:8" ht="15" customHeight="1">
      <c r="A8" s="11"/>
      <c r="B8" s="451">
        <v>5</v>
      </c>
      <c r="C8" s="452">
        <f t="shared" si="1"/>
        <v>-37251.402409860006</v>
      </c>
      <c r="D8" s="452">
        <v>41901.867139536887</v>
      </c>
      <c r="E8" s="452">
        <f t="shared" si="2"/>
        <v>-7822.7945060706006</v>
      </c>
      <c r="F8" s="452">
        <f>D8-E8</f>
        <v>49724.661645607484</v>
      </c>
      <c r="G8" s="24">
        <f>SUM(F4:F8)</f>
        <v>172648.04569322581</v>
      </c>
      <c r="H8" s="439" t="s">
        <v>308</v>
      </c>
    </row>
    <row r="9" spans="1:8">
      <c r="A9" s="11"/>
      <c r="B9" s="139">
        <v>6</v>
      </c>
      <c r="C9" s="140">
        <f t="shared" si="1"/>
        <v>-86976.06405546749</v>
      </c>
      <c r="D9" s="140">
        <v>93178.84636710507</v>
      </c>
      <c r="E9" s="140">
        <f t="shared" si="2"/>
        <v>-18264.973451648173</v>
      </c>
      <c r="F9" s="140">
        <f t="shared" si="0"/>
        <v>111443.81981875324</v>
      </c>
      <c r="G9" s="24"/>
      <c r="H9" s="439"/>
    </row>
    <row r="10" spans="1:8">
      <c r="A10" s="11"/>
      <c r="B10" s="245">
        <v>7</v>
      </c>
      <c r="C10" s="136">
        <f t="shared" si="1"/>
        <v>-198419.88387422072</v>
      </c>
      <c r="D10" s="136">
        <v>116686.6223918608</v>
      </c>
      <c r="E10" s="136">
        <f t="shared" si="2"/>
        <v>-41668.175613586347</v>
      </c>
      <c r="F10" s="136">
        <f t="shared" si="0"/>
        <v>158354.79800544714</v>
      </c>
      <c r="H10" s="439"/>
    </row>
    <row r="11" spans="1:8">
      <c r="A11" s="11"/>
      <c r="B11" s="11">
        <v>8</v>
      </c>
      <c r="C11" s="136">
        <f t="shared" si="1"/>
        <v>-356774.68187966786</v>
      </c>
      <c r="D11" s="136">
        <v>135342.64970774489</v>
      </c>
      <c r="E11" s="136">
        <f t="shared" si="2"/>
        <v>-74922.683194730242</v>
      </c>
      <c r="F11" s="136">
        <f t="shared" si="0"/>
        <v>210265.33290247514</v>
      </c>
      <c r="H11" s="47"/>
    </row>
    <row r="12" spans="1:8">
      <c r="A12" s="11"/>
      <c r="B12" s="11">
        <v>9</v>
      </c>
      <c r="C12" s="136">
        <f t="shared" si="1"/>
        <v>-567040.01478214306</v>
      </c>
      <c r="D12" s="136">
        <v>149205.0824948985</v>
      </c>
      <c r="E12" s="136">
        <f t="shared" si="2"/>
        <v>-119078.40310425004</v>
      </c>
      <c r="F12" s="136">
        <f t="shared" si="0"/>
        <v>268283.48559914855</v>
      </c>
      <c r="H12" s="47"/>
    </row>
    <row r="13" spans="1:8">
      <c r="A13" s="11"/>
      <c r="B13" s="11">
        <v>10</v>
      </c>
      <c r="C13" s="136">
        <f t="shared" si="1"/>
        <v>-835323.50038129161</v>
      </c>
      <c r="D13" s="136">
        <v>255109.86373749655</v>
      </c>
      <c r="E13" s="136">
        <f t="shared" si="2"/>
        <v>-175417.93508007124</v>
      </c>
      <c r="F13" s="136">
        <f t="shared" si="0"/>
        <v>430527.79881756776</v>
      </c>
    </row>
    <row r="14" spans="1:8">
      <c r="E14" s="24"/>
      <c r="F14" s="24"/>
    </row>
  </sheetData>
  <mergeCells count="2">
    <mergeCell ref="A2:F2"/>
    <mergeCell ref="H8:H10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B1:O34"/>
  <sheetViews>
    <sheetView topLeftCell="B1" zoomScale="60" zoomScaleNormal="60" workbookViewId="0">
      <selection activeCell="R15" sqref="R15"/>
    </sheetView>
  </sheetViews>
  <sheetFormatPr baseColWidth="10" defaultRowHeight="15.75"/>
  <cols>
    <col min="1" max="2" width="11.42578125" style="169"/>
    <col min="3" max="3" width="21.5703125" style="169" customWidth="1"/>
    <col min="4" max="4" width="14.7109375" style="169" customWidth="1"/>
    <col min="5" max="5" width="23.85546875" style="169" customWidth="1"/>
    <col min="6" max="6" width="24.28515625" style="169" customWidth="1"/>
    <col min="7" max="7" width="16.42578125" style="169" customWidth="1"/>
    <col min="8" max="8" width="15.5703125" style="169" customWidth="1"/>
    <col min="9" max="9" width="11.42578125" style="169"/>
    <col min="10" max="10" width="18" style="169" customWidth="1"/>
    <col min="11" max="11" width="20" style="169" customWidth="1"/>
    <col min="12" max="13" width="11.42578125" style="169"/>
    <col min="14" max="14" width="12.28515625" style="169" customWidth="1"/>
    <col min="15" max="258" width="11.42578125" style="169"/>
    <col min="259" max="259" width="15.28515625" style="169" customWidth="1"/>
    <col min="260" max="265" width="11.42578125" style="169"/>
    <col min="266" max="266" width="14" style="169" customWidth="1"/>
    <col min="267" max="269" width="11.42578125" style="169"/>
    <col min="270" max="270" width="12.28515625" style="169" customWidth="1"/>
    <col min="271" max="514" width="11.42578125" style="169"/>
    <col min="515" max="515" width="15.28515625" style="169" customWidth="1"/>
    <col min="516" max="521" width="11.42578125" style="169"/>
    <col min="522" max="522" width="14" style="169" customWidth="1"/>
    <col min="523" max="525" width="11.42578125" style="169"/>
    <col min="526" max="526" width="12.28515625" style="169" customWidth="1"/>
    <col min="527" max="770" width="11.42578125" style="169"/>
    <col min="771" max="771" width="15.28515625" style="169" customWidth="1"/>
    <col min="772" max="777" width="11.42578125" style="169"/>
    <col min="778" max="778" width="14" style="169" customWidth="1"/>
    <col min="779" max="781" width="11.42578125" style="169"/>
    <col min="782" max="782" width="12.28515625" style="169" customWidth="1"/>
    <col min="783" max="1026" width="11.42578125" style="169"/>
    <col min="1027" max="1027" width="15.28515625" style="169" customWidth="1"/>
    <col min="1028" max="1033" width="11.42578125" style="169"/>
    <col min="1034" max="1034" width="14" style="169" customWidth="1"/>
    <col min="1035" max="1037" width="11.42578125" style="169"/>
    <col min="1038" max="1038" width="12.28515625" style="169" customWidth="1"/>
    <col min="1039" max="1282" width="11.42578125" style="169"/>
    <col min="1283" max="1283" width="15.28515625" style="169" customWidth="1"/>
    <col min="1284" max="1289" width="11.42578125" style="169"/>
    <col min="1290" max="1290" width="14" style="169" customWidth="1"/>
    <col min="1291" max="1293" width="11.42578125" style="169"/>
    <col min="1294" max="1294" width="12.28515625" style="169" customWidth="1"/>
    <col min="1295" max="1538" width="11.42578125" style="169"/>
    <col min="1539" max="1539" width="15.28515625" style="169" customWidth="1"/>
    <col min="1540" max="1545" width="11.42578125" style="169"/>
    <col min="1546" max="1546" width="14" style="169" customWidth="1"/>
    <col min="1547" max="1549" width="11.42578125" style="169"/>
    <col min="1550" max="1550" width="12.28515625" style="169" customWidth="1"/>
    <col min="1551" max="1794" width="11.42578125" style="169"/>
    <col min="1795" max="1795" width="15.28515625" style="169" customWidth="1"/>
    <col min="1796" max="1801" width="11.42578125" style="169"/>
    <col min="1802" max="1802" width="14" style="169" customWidth="1"/>
    <col min="1803" max="1805" width="11.42578125" style="169"/>
    <col min="1806" max="1806" width="12.28515625" style="169" customWidth="1"/>
    <col min="1807" max="2050" width="11.42578125" style="169"/>
    <col min="2051" max="2051" width="15.28515625" style="169" customWidth="1"/>
    <col min="2052" max="2057" width="11.42578125" style="169"/>
    <col min="2058" max="2058" width="14" style="169" customWidth="1"/>
    <col min="2059" max="2061" width="11.42578125" style="169"/>
    <col min="2062" max="2062" width="12.28515625" style="169" customWidth="1"/>
    <col min="2063" max="2306" width="11.42578125" style="169"/>
    <col min="2307" max="2307" width="15.28515625" style="169" customWidth="1"/>
    <col min="2308" max="2313" width="11.42578125" style="169"/>
    <col min="2314" max="2314" width="14" style="169" customWidth="1"/>
    <col min="2315" max="2317" width="11.42578125" style="169"/>
    <col min="2318" max="2318" width="12.28515625" style="169" customWidth="1"/>
    <col min="2319" max="2562" width="11.42578125" style="169"/>
    <col min="2563" max="2563" width="15.28515625" style="169" customWidth="1"/>
    <col min="2564" max="2569" width="11.42578125" style="169"/>
    <col min="2570" max="2570" width="14" style="169" customWidth="1"/>
    <col min="2571" max="2573" width="11.42578125" style="169"/>
    <col min="2574" max="2574" width="12.28515625" style="169" customWidth="1"/>
    <col min="2575" max="2818" width="11.42578125" style="169"/>
    <col min="2819" max="2819" width="15.28515625" style="169" customWidth="1"/>
    <col min="2820" max="2825" width="11.42578125" style="169"/>
    <col min="2826" max="2826" width="14" style="169" customWidth="1"/>
    <col min="2827" max="2829" width="11.42578125" style="169"/>
    <col min="2830" max="2830" width="12.28515625" style="169" customWidth="1"/>
    <col min="2831" max="3074" width="11.42578125" style="169"/>
    <col min="3075" max="3075" width="15.28515625" style="169" customWidth="1"/>
    <col min="3076" max="3081" width="11.42578125" style="169"/>
    <col min="3082" max="3082" width="14" style="169" customWidth="1"/>
    <col min="3083" max="3085" width="11.42578125" style="169"/>
    <col min="3086" max="3086" width="12.28515625" style="169" customWidth="1"/>
    <col min="3087" max="3330" width="11.42578125" style="169"/>
    <col min="3331" max="3331" width="15.28515625" style="169" customWidth="1"/>
    <col min="3332" max="3337" width="11.42578125" style="169"/>
    <col min="3338" max="3338" width="14" style="169" customWidth="1"/>
    <col min="3339" max="3341" width="11.42578125" style="169"/>
    <col min="3342" max="3342" width="12.28515625" style="169" customWidth="1"/>
    <col min="3343" max="3586" width="11.42578125" style="169"/>
    <col min="3587" max="3587" width="15.28515625" style="169" customWidth="1"/>
    <col min="3588" max="3593" width="11.42578125" style="169"/>
    <col min="3594" max="3594" width="14" style="169" customWidth="1"/>
    <col min="3595" max="3597" width="11.42578125" style="169"/>
    <col min="3598" max="3598" width="12.28515625" style="169" customWidth="1"/>
    <col min="3599" max="3842" width="11.42578125" style="169"/>
    <col min="3843" max="3843" width="15.28515625" style="169" customWidth="1"/>
    <col min="3844" max="3849" width="11.42578125" style="169"/>
    <col min="3850" max="3850" width="14" style="169" customWidth="1"/>
    <col min="3851" max="3853" width="11.42578125" style="169"/>
    <col min="3854" max="3854" width="12.28515625" style="169" customWidth="1"/>
    <col min="3855" max="4098" width="11.42578125" style="169"/>
    <col min="4099" max="4099" width="15.28515625" style="169" customWidth="1"/>
    <col min="4100" max="4105" width="11.42578125" style="169"/>
    <col min="4106" max="4106" width="14" style="169" customWidth="1"/>
    <col min="4107" max="4109" width="11.42578125" style="169"/>
    <col min="4110" max="4110" width="12.28515625" style="169" customWidth="1"/>
    <col min="4111" max="4354" width="11.42578125" style="169"/>
    <col min="4355" max="4355" width="15.28515625" style="169" customWidth="1"/>
    <col min="4356" max="4361" width="11.42578125" style="169"/>
    <col min="4362" max="4362" width="14" style="169" customWidth="1"/>
    <col min="4363" max="4365" width="11.42578125" style="169"/>
    <col min="4366" max="4366" width="12.28515625" style="169" customWidth="1"/>
    <col min="4367" max="4610" width="11.42578125" style="169"/>
    <col min="4611" max="4611" width="15.28515625" style="169" customWidth="1"/>
    <col min="4612" max="4617" width="11.42578125" style="169"/>
    <col min="4618" max="4618" width="14" style="169" customWidth="1"/>
    <col min="4619" max="4621" width="11.42578125" style="169"/>
    <col min="4622" max="4622" width="12.28515625" style="169" customWidth="1"/>
    <col min="4623" max="4866" width="11.42578125" style="169"/>
    <col min="4867" max="4867" width="15.28515625" style="169" customWidth="1"/>
    <col min="4868" max="4873" width="11.42578125" style="169"/>
    <col min="4874" max="4874" width="14" style="169" customWidth="1"/>
    <col min="4875" max="4877" width="11.42578125" style="169"/>
    <col min="4878" max="4878" width="12.28515625" style="169" customWidth="1"/>
    <col min="4879" max="5122" width="11.42578125" style="169"/>
    <col min="5123" max="5123" width="15.28515625" style="169" customWidth="1"/>
    <col min="5124" max="5129" width="11.42578125" style="169"/>
    <col min="5130" max="5130" width="14" style="169" customWidth="1"/>
    <col min="5131" max="5133" width="11.42578125" style="169"/>
    <col min="5134" max="5134" width="12.28515625" style="169" customWidth="1"/>
    <col min="5135" max="5378" width="11.42578125" style="169"/>
    <col min="5379" max="5379" width="15.28515625" style="169" customWidth="1"/>
    <col min="5380" max="5385" width="11.42578125" style="169"/>
    <col min="5386" max="5386" width="14" style="169" customWidth="1"/>
    <col min="5387" max="5389" width="11.42578125" style="169"/>
    <col min="5390" max="5390" width="12.28515625" style="169" customWidth="1"/>
    <col min="5391" max="5634" width="11.42578125" style="169"/>
    <col min="5635" max="5635" width="15.28515625" style="169" customWidth="1"/>
    <col min="5636" max="5641" width="11.42578125" style="169"/>
    <col min="5642" max="5642" width="14" style="169" customWidth="1"/>
    <col min="5643" max="5645" width="11.42578125" style="169"/>
    <col min="5646" max="5646" width="12.28515625" style="169" customWidth="1"/>
    <col min="5647" max="5890" width="11.42578125" style="169"/>
    <col min="5891" max="5891" width="15.28515625" style="169" customWidth="1"/>
    <col min="5892" max="5897" width="11.42578125" style="169"/>
    <col min="5898" max="5898" width="14" style="169" customWidth="1"/>
    <col min="5899" max="5901" width="11.42578125" style="169"/>
    <col min="5902" max="5902" width="12.28515625" style="169" customWidth="1"/>
    <col min="5903" max="6146" width="11.42578125" style="169"/>
    <col min="6147" max="6147" width="15.28515625" style="169" customWidth="1"/>
    <col min="6148" max="6153" width="11.42578125" style="169"/>
    <col min="6154" max="6154" width="14" style="169" customWidth="1"/>
    <col min="6155" max="6157" width="11.42578125" style="169"/>
    <col min="6158" max="6158" width="12.28515625" style="169" customWidth="1"/>
    <col min="6159" max="6402" width="11.42578125" style="169"/>
    <col min="6403" max="6403" width="15.28515625" style="169" customWidth="1"/>
    <col min="6404" max="6409" width="11.42578125" style="169"/>
    <col min="6410" max="6410" width="14" style="169" customWidth="1"/>
    <col min="6411" max="6413" width="11.42578125" style="169"/>
    <col min="6414" max="6414" width="12.28515625" style="169" customWidth="1"/>
    <col min="6415" max="6658" width="11.42578125" style="169"/>
    <col min="6659" max="6659" width="15.28515625" style="169" customWidth="1"/>
    <col min="6660" max="6665" width="11.42578125" style="169"/>
    <col min="6666" max="6666" width="14" style="169" customWidth="1"/>
    <col min="6667" max="6669" width="11.42578125" style="169"/>
    <col min="6670" max="6670" width="12.28515625" style="169" customWidth="1"/>
    <col min="6671" max="6914" width="11.42578125" style="169"/>
    <col min="6915" max="6915" width="15.28515625" style="169" customWidth="1"/>
    <col min="6916" max="6921" width="11.42578125" style="169"/>
    <col min="6922" max="6922" width="14" style="169" customWidth="1"/>
    <col min="6923" max="6925" width="11.42578125" style="169"/>
    <col min="6926" max="6926" width="12.28515625" style="169" customWidth="1"/>
    <col min="6927" max="7170" width="11.42578125" style="169"/>
    <col min="7171" max="7171" width="15.28515625" style="169" customWidth="1"/>
    <col min="7172" max="7177" width="11.42578125" style="169"/>
    <col min="7178" max="7178" width="14" style="169" customWidth="1"/>
    <col min="7179" max="7181" width="11.42578125" style="169"/>
    <col min="7182" max="7182" width="12.28515625" style="169" customWidth="1"/>
    <col min="7183" max="7426" width="11.42578125" style="169"/>
    <col min="7427" max="7427" width="15.28515625" style="169" customWidth="1"/>
    <col min="7428" max="7433" width="11.42578125" style="169"/>
    <col min="7434" max="7434" width="14" style="169" customWidth="1"/>
    <col min="7435" max="7437" width="11.42578125" style="169"/>
    <col min="7438" max="7438" width="12.28515625" style="169" customWidth="1"/>
    <col min="7439" max="7682" width="11.42578125" style="169"/>
    <col min="7683" max="7683" width="15.28515625" style="169" customWidth="1"/>
    <col min="7684" max="7689" width="11.42578125" style="169"/>
    <col min="7690" max="7690" width="14" style="169" customWidth="1"/>
    <col min="7691" max="7693" width="11.42578125" style="169"/>
    <col min="7694" max="7694" width="12.28515625" style="169" customWidth="1"/>
    <col min="7695" max="7938" width="11.42578125" style="169"/>
    <col min="7939" max="7939" width="15.28515625" style="169" customWidth="1"/>
    <col min="7940" max="7945" width="11.42578125" style="169"/>
    <col min="7946" max="7946" width="14" style="169" customWidth="1"/>
    <col min="7947" max="7949" width="11.42578125" style="169"/>
    <col min="7950" max="7950" width="12.28515625" style="169" customWidth="1"/>
    <col min="7951" max="8194" width="11.42578125" style="169"/>
    <col min="8195" max="8195" width="15.28515625" style="169" customWidth="1"/>
    <col min="8196" max="8201" width="11.42578125" style="169"/>
    <col min="8202" max="8202" width="14" style="169" customWidth="1"/>
    <col min="8203" max="8205" width="11.42578125" style="169"/>
    <col min="8206" max="8206" width="12.28515625" style="169" customWidth="1"/>
    <col min="8207" max="8450" width="11.42578125" style="169"/>
    <col min="8451" max="8451" width="15.28515625" style="169" customWidth="1"/>
    <col min="8452" max="8457" width="11.42578125" style="169"/>
    <col min="8458" max="8458" width="14" style="169" customWidth="1"/>
    <col min="8459" max="8461" width="11.42578125" style="169"/>
    <col min="8462" max="8462" width="12.28515625" style="169" customWidth="1"/>
    <col min="8463" max="8706" width="11.42578125" style="169"/>
    <col min="8707" max="8707" width="15.28515625" style="169" customWidth="1"/>
    <col min="8708" max="8713" width="11.42578125" style="169"/>
    <col min="8714" max="8714" width="14" style="169" customWidth="1"/>
    <col min="8715" max="8717" width="11.42578125" style="169"/>
    <col min="8718" max="8718" width="12.28515625" style="169" customWidth="1"/>
    <col min="8719" max="8962" width="11.42578125" style="169"/>
    <col min="8963" max="8963" width="15.28515625" style="169" customWidth="1"/>
    <col min="8964" max="8969" width="11.42578125" style="169"/>
    <col min="8970" max="8970" width="14" style="169" customWidth="1"/>
    <col min="8971" max="8973" width="11.42578125" style="169"/>
    <col min="8974" max="8974" width="12.28515625" style="169" customWidth="1"/>
    <col min="8975" max="9218" width="11.42578125" style="169"/>
    <col min="9219" max="9219" width="15.28515625" style="169" customWidth="1"/>
    <col min="9220" max="9225" width="11.42578125" style="169"/>
    <col min="9226" max="9226" width="14" style="169" customWidth="1"/>
    <col min="9227" max="9229" width="11.42578125" style="169"/>
    <col min="9230" max="9230" width="12.28515625" style="169" customWidth="1"/>
    <col min="9231" max="9474" width="11.42578125" style="169"/>
    <col min="9475" max="9475" width="15.28515625" style="169" customWidth="1"/>
    <col min="9476" max="9481" width="11.42578125" style="169"/>
    <col min="9482" max="9482" width="14" style="169" customWidth="1"/>
    <col min="9483" max="9485" width="11.42578125" style="169"/>
    <col min="9486" max="9486" width="12.28515625" style="169" customWidth="1"/>
    <col min="9487" max="9730" width="11.42578125" style="169"/>
    <col min="9731" max="9731" width="15.28515625" style="169" customWidth="1"/>
    <col min="9732" max="9737" width="11.42578125" style="169"/>
    <col min="9738" max="9738" width="14" style="169" customWidth="1"/>
    <col min="9739" max="9741" width="11.42578125" style="169"/>
    <col min="9742" max="9742" width="12.28515625" style="169" customWidth="1"/>
    <col min="9743" max="9986" width="11.42578125" style="169"/>
    <col min="9987" max="9987" width="15.28515625" style="169" customWidth="1"/>
    <col min="9988" max="9993" width="11.42578125" style="169"/>
    <col min="9994" max="9994" width="14" style="169" customWidth="1"/>
    <col min="9995" max="9997" width="11.42578125" style="169"/>
    <col min="9998" max="9998" width="12.28515625" style="169" customWidth="1"/>
    <col min="9999" max="10242" width="11.42578125" style="169"/>
    <col min="10243" max="10243" width="15.28515625" style="169" customWidth="1"/>
    <col min="10244" max="10249" width="11.42578125" style="169"/>
    <col min="10250" max="10250" width="14" style="169" customWidth="1"/>
    <col min="10251" max="10253" width="11.42578125" style="169"/>
    <col min="10254" max="10254" width="12.28515625" style="169" customWidth="1"/>
    <col min="10255" max="10498" width="11.42578125" style="169"/>
    <col min="10499" max="10499" width="15.28515625" style="169" customWidth="1"/>
    <col min="10500" max="10505" width="11.42578125" style="169"/>
    <col min="10506" max="10506" width="14" style="169" customWidth="1"/>
    <col min="10507" max="10509" width="11.42578125" style="169"/>
    <col min="10510" max="10510" width="12.28515625" style="169" customWidth="1"/>
    <col min="10511" max="10754" width="11.42578125" style="169"/>
    <col min="10755" max="10755" width="15.28515625" style="169" customWidth="1"/>
    <col min="10756" max="10761" width="11.42578125" style="169"/>
    <col min="10762" max="10762" width="14" style="169" customWidth="1"/>
    <col min="10763" max="10765" width="11.42578125" style="169"/>
    <col min="10766" max="10766" width="12.28515625" style="169" customWidth="1"/>
    <col min="10767" max="11010" width="11.42578125" style="169"/>
    <col min="11011" max="11011" width="15.28515625" style="169" customWidth="1"/>
    <col min="11012" max="11017" width="11.42578125" style="169"/>
    <col min="11018" max="11018" width="14" style="169" customWidth="1"/>
    <col min="11019" max="11021" width="11.42578125" style="169"/>
    <col min="11022" max="11022" width="12.28515625" style="169" customWidth="1"/>
    <col min="11023" max="11266" width="11.42578125" style="169"/>
    <col min="11267" max="11267" width="15.28515625" style="169" customWidth="1"/>
    <col min="11268" max="11273" width="11.42578125" style="169"/>
    <col min="11274" max="11274" width="14" style="169" customWidth="1"/>
    <col min="11275" max="11277" width="11.42578125" style="169"/>
    <col min="11278" max="11278" width="12.28515625" style="169" customWidth="1"/>
    <col min="11279" max="11522" width="11.42578125" style="169"/>
    <col min="11523" max="11523" width="15.28515625" style="169" customWidth="1"/>
    <col min="11524" max="11529" width="11.42578125" style="169"/>
    <col min="11530" max="11530" width="14" style="169" customWidth="1"/>
    <col min="11531" max="11533" width="11.42578125" style="169"/>
    <col min="11534" max="11534" width="12.28515625" style="169" customWidth="1"/>
    <col min="11535" max="11778" width="11.42578125" style="169"/>
    <col min="11779" max="11779" width="15.28515625" style="169" customWidth="1"/>
    <col min="11780" max="11785" width="11.42578125" style="169"/>
    <col min="11786" max="11786" width="14" style="169" customWidth="1"/>
    <col min="11787" max="11789" width="11.42578125" style="169"/>
    <col min="11790" max="11790" width="12.28515625" style="169" customWidth="1"/>
    <col min="11791" max="12034" width="11.42578125" style="169"/>
    <col min="12035" max="12035" width="15.28515625" style="169" customWidth="1"/>
    <col min="12036" max="12041" width="11.42578125" style="169"/>
    <col min="12042" max="12042" width="14" style="169" customWidth="1"/>
    <col min="12043" max="12045" width="11.42578125" style="169"/>
    <col min="12046" max="12046" width="12.28515625" style="169" customWidth="1"/>
    <col min="12047" max="12290" width="11.42578125" style="169"/>
    <col min="12291" max="12291" width="15.28515625" style="169" customWidth="1"/>
    <col min="12292" max="12297" width="11.42578125" style="169"/>
    <col min="12298" max="12298" width="14" style="169" customWidth="1"/>
    <col min="12299" max="12301" width="11.42578125" style="169"/>
    <col min="12302" max="12302" width="12.28515625" style="169" customWidth="1"/>
    <col min="12303" max="12546" width="11.42578125" style="169"/>
    <col min="12547" max="12547" width="15.28515625" style="169" customWidth="1"/>
    <col min="12548" max="12553" width="11.42578125" style="169"/>
    <col min="12554" max="12554" width="14" style="169" customWidth="1"/>
    <col min="12555" max="12557" width="11.42578125" style="169"/>
    <col min="12558" max="12558" width="12.28515625" style="169" customWidth="1"/>
    <col min="12559" max="12802" width="11.42578125" style="169"/>
    <col min="12803" max="12803" width="15.28515625" style="169" customWidth="1"/>
    <col min="12804" max="12809" width="11.42578125" style="169"/>
    <col min="12810" max="12810" width="14" style="169" customWidth="1"/>
    <col min="12811" max="12813" width="11.42578125" style="169"/>
    <col min="12814" max="12814" width="12.28515625" style="169" customWidth="1"/>
    <col min="12815" max="13058" width="11.42578125" style="169"/>
    <col min="13059" max="13059" width="15.28515625" style="169" customWidth="1"/>
    <col min="13060" max="13065" width="11.42578125" style="169"/>
    <col min="13066" max="13066" width="14" style="169" customWidth="1"/>
    <col min="13067" max="13069" width="11.42578125" style="169"/>
    <col min="13070" max="13070" width="12.28515625" style="169" customWidth="1"/>
    <col min="13071" max="13314" width="11.42578125" style="169"/>
    <col min="13315" max="13315" width="15.28515625" style="169" customWidth="1"/>
    <col min="13316" max="13321" width="11.42578125" style="169"/>
    <col min="13322" max="13322" width="14" style="169" customWidth="1"/>
    <col min="13323" max="13325" width="11.42578125" style="169"/>
    <col min="13326" max="13326" width="12.28515625" style="169" customWidth="1"/>
    <col min="13327" max="13570" width="11.42578125" style="169"/>
    <col min="13571" max="13571" width="15.28515625" style="169" customWidth="1"/>
    <col min="13572" max="13577" width="11.42578125" style="169"/>
    <col min="13578" max="13578" width="14" style="169" customWidth="1"/>
    <col min="13579" max="13581" width="11.42578125" style="169"/>
    <col min="13582" max="13582" width="12.28515625" style="169" customWidth="1"/>
    <col min="13583" max="13826" width="11.42578125" style="169"/>
    <col min="13827" max="13827" width="15.28515625" style="169" customWidth="1"/>
    <col min="13828" max="13833" width="11.42578125" style="169"/>
    <col min="13834" max="13834" width="14" style="169" customWidth="1"/>
    <col min="13835" max="13837" width="11.42578125" style="169"/>
    <col min="13838" max="13838" width="12.28515625" style="169" customWidth="1"/>
    <col min="13839" max="14082" width="11.42578125" style="169"/>
    <col min="14083" max="14083" width="15.28515625" style="169" customWidth="1"/>
    <col min="14084" max="14089" width="11.42578125" style="169"/>
    <col min="14090" max="14090" width="14" style="169" customWidth="1"/>
    <col min="14091" max="14093" width="11.42578125" style="169"/>
    <col min="14094" max="14094" width="12.28515625" style="169" customWidth="1"/>
    <col min="14095" max="14338" width="11.42578125" style="169"/>
    <col min="14339" max="14339" width="15.28515625" style="169" customWidth="1"/>
    <col min="14340" max="14345" width="11.42578125" style="169"/>
    <col min="14346" max="14346" width="14" style="169" customWidth="1"/>
    <col min="14347" max="14349" width="11.42578125" style="169"/>
    <col min="14350" max="14350" width="12.28515625" style="169" customWidth="1"/>
    <col min="14351" max="14594" width="11.42578125" style="169"/>
    <col min="14595" max="14595" width="15.28515625" style="169" customWidth="1"/>
    <col min="14596" max="14601" width="11.42578125" style="169"/>
    <col min="14602" max="14602" width="14" style="169" customWidth="1"/>
    <col min="14603" max="14605" width="11.42578125" style="169"/>
    <col min="14606" max="14606" width="12.28515625" style="169" customWidth="1"/>
    <col min="14607" max="14850" width="11.42578125" style="169"/>
    <col min="14851" max="14851" width="15.28515625" style="169" customWidth="1"/>
    <col min="14852" max="14857" width="11.42578125" style="169"/>
    <col min="14858" max="14858" width="14" style="169" customWidth="1"/>
    <col min="14859" max="14861" width="11.42578125" style="169"/>
    <col min="14862" max="14862" width="12.28515625" style="169" customWidth="1"/>
    <col min="14863" max="15106" width="11.42578125" style="169"/>
    <col min="15107" max="15107" width="15.28515625" style="169" customWidth="1"/>
    <col min="15108" max="15113" width="11.42578125" style="169"/>
    <col min="15114" max="15114" width="14" style="169" customWidth="1"/>
    <col min="15115" max="15117" width="11.42578125" style="169"/>
    <col min="15118" max="15118" width="12.28515625" style="169" customWidth="1"/>
    <col min="15119" max="15362" width="11.42578125" style="169"/>
    <col min="15363" max="15363" width="15.28515625" style="169" customWidth="1"/>
    <col min="15364" max="15369" width="11.42578125" style="169"/>
    <col min="15370" max="15370" width="14" style="169" customWidth="1"/>
    <col min="15371" max="15373" width="11.42578125" style="169"/>
    <col min="15374" max="15374" width="12.28515625" style="169" customWidth="1"/>
    <col min="15375" max="15618" width="11.42578125" style="169"/>
    <col min="15619" max="15619" width="15.28515625" style="169" customWidth="1"/>
    <col min="15620" max="15625" width="11.42578125" style="169"/>
    <col min="15626" max="15626" width="14" style="169" customWidth="1"/>
    <col min="15627" max="15629" width="11.42578125" style="169"/>
    <col min="15630" max="15630" width="12.28515625" style="169" customWidth="1"/>
    <col min="15631" max="15874" width="11.42578125" style="169"/>
    <col min="15875" max="15875" width="15.28515625" style="169" customWidth="1"/>
    <col min="15876" max="15881" width="11.42578125" style="169"/>
    <col min="15882" max="15882" width="14" style="169" customWidth="1"/>
    <col min="15883" max="15885" width="11.42578125" style="169"/>
    <col min="15886" max="15886" width="12.28515625" style="169" customWidth="1"/>
    <col min="15887" max="16130" width="11.42578125" style="169"/>
    <col min="16131" max="16131" width="15.28515625" style="169" customWidth="1"/>
    <col min="16132" max="16137" width="11.42578125" style="169"/>
    <col min="16138" max="16138" width="14" style="169" customWidth="1"/>
    <col min="16139" max="16141" width="11.42578125" style="169"/>
    <col min="16142" max="16142" width="12.28515625" style="169" customWidth="1"/>
    <col min="16143" max="16384" width="11.42578125" style="169"/>
  </cols>
  <sheetData>
    <row r="1" spans="2:15" ht="16.5" thickBot="1"/>
    <row r="2" spans="2:15" ht="39" customHeight="1" thickBot="1">
      <c r="B2" s="256"/>
      <c r="C2" s="440" t="s">
        <v>222</v>
      </c>
      <c r="D2" s="441"/>
      <c r="E2" s="441"/>
      <c r="F2" s="441"/>
      <c r="G2" s="441"/>
      <c r="H2" s="442"/>
      <c r="I2" s="256"/>
      <c r="J2" s="257"/>
      <c r="K2" s="257"/>
      <c r="L2" s="257"/>
      <c r="M2" s="258"/>
      <c r="N2" s="259"/>
      <c r="O2" s="260"/>
    </row>
    <row r="3" spans="2:15" ht="18.75" thickBot="1">
      <c r="B3" s="256"/>
      <c r="C3" s="261"/>
      <c r="D3" s="262"/>
      <c r="E3" s="262"/>
      <c r="F3" s="262"/>
      <c r="G3" s="262"/>
      <c r="H3" s="263"/>
      <c r="I3" s="256"/>
      <c r="J3" s="257"/>
      <c r="K3" s="264"/>
      <c r="L3" s="257"/>
      <c r="M3" s="260"/>
      <c r="N3" s="260"/>
      <c r="O3" s="260"/>
    </row>
    <row r="4" spans="2:15" ht="18">
      <c r="B4" s="256"/>
      <c r="C4" s="265" t="s">
        <v>223</v>
      </c>
      <c r="D4" s="266" t="s">
        <v>224</v>
      </c>
      <c r="E4" s="266" t="s">
        <v>225</v>
      </c>
      <c r="F4" s="266" t="s">
        <v>226</v>
      </c>
      <c r="G4" s="266" t="s">
        <v>213</v>
      </c>
      <c r="H4" s="267" t="s">
        <v>227</v>
      </c>
      <c r="I4" s="256"/>
      <c r="J4" s="268"/>
      <c r="K4" s="269"/>
      <c r="L4" s="257"/>
      <c r="M4" s="256"/>
      <c r="N4" s="260"/>
      <c r="O4" s="260"/>
    </row>
    <row r="5" spans="2:15" ht="36" customHeight="1">
      <c r="B5" s="256"/>
      <c r="C5" s="270"/>
      <c r="D5" s="271">
        <v>-0.15</v>
      </c>
      <c r="E5" s="272">
        <f>+$E$8*(1+D5)</f>
        <v>0.255</v>
      </c>
      <c r="F5" s="273">
        <v>-89738.060925646816</v>
      </c>
      <c r="G5" s="274">
        <v>8.9721512232866257E-2</v>
      </c>
      <c r="H5" s="275" t="s">
        <v>228</v>
      </c>
      <c r="I5" s="443" t="s">
        <v>300</v>
      </c>
      <c r="J5" s="444"/>
      <c r="K5" s="444"/>
      <c r="L5" s="444"/>
      <c r="M5" s="444"/>
      <c r="N5" s="444"/>
      <c r="O5" s="444"/>
    </row>
    <row r="6" spans="2:15" ht="18.75" customHeight="1">
      <c r="B6" s="256"/>
      <c r="C6" s="270"/>
      <c r="D6" s="271">
        <v>-0.1</v>
      </c>
      <c r="E6" s="272">
        <f>+$E$8*(1+D6)</f>
        <v>0.27</v>
      </c>
      <c r="F6" s="276">
        <v>865.18651108235645</v>
      </c>
      <c r="G6" s="277">
        <v>0.21124379582604014</v>
      </c>
      <c r="H6" s="275" t="s">
        <v>229</v>
      </c>
      <c r="I6" s="278" t="s">
        <v>305</v>
      </c>
      <c r="J6" s="279"/>
      <c r="K6" s="279"/>
      <c r="L6" s="279"/>
      <c r="M6" s="279"/>
      <c r="N6" s="279"/>
      <c r="O6" s="279"/>
    </row>
    <row r="7" spans="2:15" ht="18">
      <c r="B7" s="256"/>
      <c r="C7" s="270"/>
      <c r="D7" s="271">
        <v>-0.05</v>
      </c>
      <c r="E7" s="272">
        <f>+$E$8*(1+D7)</f>
        <v>0.28499999999999998</v>
      </c>
      <c r="F7" s="280">
        <v>86281.707928304415</v>
      </c>
      <c r="G7" s="281">
        <v>0.34293928734161511</v>
      </c>
      <c r="H7" s="275" t="s">
        <v>229</v>
      </c>
      <c r="I7" s="256" t="s">
        <v>301</v>
      </c>
      <c r="J7" s="268"/>
      <c r="K7" s="282"/>
      <c r="L7" s="257"/>
      <c r="M7" s="283"/>
      <c r="N7" s="284"/>
      <c r="O7" s="285"/>
    </row>
    <row r="8" spans="2:15" ht="18">
      <c r="B8" s="256"/>
      <c r="C8" s="286" t="s">
        <v>230</v>
      </c>
      <c r="D8" s="287">
        <v>0</v>
      </c>
      <c r="E8" s="288">
        <f>0.3</f>
        <v>0.3</v>
      </c>
      <c r="F8" s="289">
        <v>165544.89678499859</v>
      </c>
      <c r="G8" s="290">
        <v>0.47757197320145717</v>
      </c>
      <c r="H8" s="291" t="s">
        <v>229</v>
      </c>
      <c r="I8" s="256" t="s">
        <v>302</v>
      </c>
      <c r="J8" s="268"/>
      <c r="K8" s="269"/>
      <c r="L8" s="292"/>
      <c r="M8" s="293"/>
      <c r="N8" s="284"/>
      <c r="O8" s="285"/>
    </row>
    <row r="9" spans="2:15" ht="18">
      <c r="B9" s="256"/>
      <c r="C9" s="294"/>
      <c r="D9" s="271">
        <v>0.05</v>
      </c>
      <c r="E9" s="295">
        <f>+$E$8*(1+D9)</f>
        <v>0.315</v>
      </c>
      <c r="F9" s="296">
        <v>242800.94156446212</v>
      </c>
      <c r="G9" s="277">
        <v>0.61772333889942477</v>
      </c>
      <c r="H9" s="297" t="s">
        <v>229</v>
      </c>
      <c r="I9" s="256" t="s">
        <v>302</v>
      </c>
      <c r="J9" s="298"/>
      <c r="K9" s="299"/>
      <c r="L9" s="292"/>
      <c r="M9" s="300"/>
      <c r="N9" s="284"/>
      <c r="O9" s="285"/>
    </row>
    <row r="10" spans="2:15" ht="18">
      <c r="B10" s="256"/>
      <c r="C10" s="301"/>
      <c r="D10" s="271">
        <v>0.1</v>
      </c>
      <c r="E10" s="295">
        <f>+$E$8*(1+D10)</f>
        <v>0.33</v>
      </c>
      <c r="F10" s="296">
        <v>320056.98634392582</v>
      </c>
      <c r="G10" s="277">
        <v>0.76727025473530175</v>
      </c>
      <c r="H10" s="302" t="s">
        <v>229</v>
      </c>
      <c r="I10" s="256" t="s">
        <v>302</v>
      </c>
      <c r="J10" s="298"/>
      <c r="K10" s="299"/>
      <c r="L10" s="292"/>
      <c r="M10" s="293"/>
      <c r="N10" s="284"/>
      <c r="O10" s="285"/>
    </row>
    <row r="11" spans="2:15" ht="18.75" thickBot="1">
      <c r="B11" s="256"/>
      <c r="C11" s="303"/>
      <c r="D11" s="304">
        <v>0.15</v>
      </c>
      <c r="E11" s="305">
        <f>+$E$8*(1+D11)</f>
        <v>0.34499999999999997</v>
      </c>
      <c r="F11" s="306">
        <v>396701.7858881572</v>
      </c>
      <c r="G11" s="307">
        <v>0.92086134620295945</v>
      </c>
      <c r="H11" s="308" t="s">
        <v>229</v>
      </c>
      <c r="I11" s="256" t="s">
        <v>303</v>
      </c>
      <c r="J11" s="257"/>
      <c r="K11" s="268"/>
      <c r="L11" s="292"/>
      <c r="M11" s="293"/>
      <c r="N11" s="284"/>
      <c r="O11" s="285"/>
    </row>
    <row r="12" spans="2:15" ht="18">
      <c r="B12" s="256"/>
      <c r="C12" s="309"/>
      <c r="D12" s="260"/>
      <c r="E12" s="310"/>
      <c r="F12" s="310"/>
      <c r="G12" s="260"/>
      <c r="H12" s="311"/>
      <c r="I12" s="256"/>
      <c r="J12" s="257"/>
      <c r="K12" s="268"/>
      <c r="L12" s="292"/>
      <c r="M12" s="293"/>
      <c r="N12" s="284"/>
      <c r="O12" s="285"/>
    </row>
    <row r="13" spans="2:15" ht="18.75" thickBot="1">
      <c r="B13" s="256"/>
      <c r="C13" s="309"/>
      <c r="D13" s="260"/>
      <c r="E13" s="260"/>
      <c r="F13" s="260"/>
      <c r="G13" s="312"/>
      <c r="H13" s="313"/>
      <c r="I13" s="256"/>
      <c r="J13" s="260"/>
      <c r="K13" s="260"/>
      <c r="L13" s="260"/>
      <c r="M13" s="260"/>
      <c r="N13" s="260"/>
      <c r="O13" s="260"/>
    </row>
    <row r="14" spans="2:15" ht="18">
      <c r="B14" s="256"/>
      <c r="C14" s="265" t="s">
        <v>223</v>
      </c>
      <c r="D14" s="266" t="s">
        <v>224</v>
      </c>
      <c r="E14" s="266" t="s">
        <v>225</v>
      </c>
      <c r="F14" s="314" t="s">
        <v>226</v>
      </c>
      <c r="G14" s="314" t="s">
        <v>213</v>
      </c>
      <c r="H14" s="267" t="s">
        <v>227</v>
      </c>
      <c r="I14" s="256"/>
      <c r="J14" s="260"/>
      <c r="K14" s="260"/>
      <c r="L14" s="260"/>
      <c r="M14" s="260"/>
      <c r="N14" s="260"/>
      <c r="O14" s="260"/>
    </row>
    <row r="15" spans="2:15" ht="42.75" customHeight="1">
      <c r="B15" s="256"/>
      <c r="C15" s="270"/>
      <c r="D15" s="315">
        <v>-0.15</v>
      </c>
      <c r="E15" s="316">
        <f>$E$18*(1+D15)</f>
        <v>1378240.7966888398</v>
      </c>
      <c r="F15" s="317">
        <v>-15974.393901365518</v>
      </c>
      <c r="G15" s="277">
        <v>0.18736298392837306</v>
      </c>
      <c r="H15" s="297" t="s">
        <v>228</v>
      </c>
      <c r="I15" s="443" t="s">
        <v>300</v>
      </c>
      <c r="J15" s="444"/>
      <c r="K15" s="444"/>
      <c r="L15" s="444"/>
      <c r="M15" s="444"/>
      <c r="N15" s="444"/>
      <c r="O15" s="444"/>
    </row>
    <row r="16" spans="2:15" ht="18">
      <c r="B16" s="256"/>
      <c r="C16" s="270"/>
      <c r="D16" s="315">
        <v>-0.1</v>
      </c>
      <c r="E16" s="316">
        <f>$E$18*(1+D16)</f>
        <v>1459313.7847293599</v>
      </c>
      <c r="F16" s="317">
        <v>47976.450759922154</v>
      </c>
      <c r="G16" s="277">
        <v>0.28176710434357843</v>
      </c>
      <c r="H16" s="297" t="s">
        <v>229</v>
      </c>
      <c r="I16" s="256" t="s">
        <v>301</v>
      </c>
      <c r="J16" s="318"/>
      <c r="K16" s="318"/>
      <c r="L16" s="318"/>
      <c r="M16" s="318"/>
      <c r="N16" s="318"/>
      <c r="O16" s="318"/>
    </row>
    <row r="17" spans="2:15" ht="18">
      <c r="B17" s="256"/>
      <c r="C17" s="270"/>
      <c r="D17" s="315">
        <v>-0.05</v>
      </c>
      <c r="E17" s="316">
        <f>$E$18*(1+D17)</f>
        <v>1540386.7727698798</v>
      </c>
      <c r="F17" s="317">
        <v>108396.5609422173</v>
      </c>
      <c r="G17" s="277">
        <v>0.37973747602123553</v>
      </c>
      <c r="H17" s="297" t="s">
        <v>229</v>
      </c>
      <c r="I17" s="256" t="s">
        <v>302</v>
      </c>
      <c r="J17" s="318"/>
      <c r="K17" s="318"/>
      <c r="L17" s="318"/>
      <c r="M17" s="318"/>
      <c r="N17" s="318"/>
      <c r="O17" s="318"/>
    </row>
    <row r="18" spans="2:15" ht="18">
      <c r="B18" s="256"/>
      <c r="C18" s="319" t="s">
        <v>231</v>
      </c>
      <c r="D18" s="320">
        <v>0</v>
      </c>
      <c r="E18" s="321">
        <v>1621459.7608103999</v>
      </c>
      <c r="F18" s="322">
        <v>165544.89678499859</v>
      </c>
      <c r="G18" s="323">
        <v>0.47757197320145717</v>
      </c>
      <c r="H18" s="320" t="s">
        <v>229</v>
      </c>
      <c r="I18" s="256" t="s">
        <v>302</v>
      </c>
      <c r="J18" s="260"/>
      <c r="K18" s="324"/>
      <c r="L18" s="284"/>
      <c r="M18" s="300"/>
      <c r="N18" s="325"/>
      <c r="O18" s="285"/>
    </row>
    <row r="19" spans="2:15" ht="18">
      <c r="B19" s="256"/>
      <c r="C19" s="326"/>
      <c r="D19" s="315">
        <v>0.05</v>
      </c>
      <c r="E19" s="327">
        <f>+$E$18*(1+D19)</f>
        <v>1702532.74885092</v>
      </c>
      <c r="F19" s="317">
        <v>221870.74246922426</v>
      </c>
      <c r="G19" s="277">
        <v>0.57866344924433555</v>
      </c>
      <c r="H19" s="297" t="s">
        <v>229</v>
      </c>
      <c r="I19" s="256" t="s">
        <v>302</v>
      </c>
      <c r="J19" s="260"/>
      <c r="K19" s="324"/>
      <c r="L19" s="284"/>
      <c r="M19" s="300"/>
      <c r="N19" s="325"/>
      <c r="O19" s="285"/>
    </row>
    <row r="20" spans="2:15" ht="18">
      <c r="B20" s="256"/>
      <c r="C20" s="270"/>
      <c r="D20" s="315">
        <v>0.1</v>
      </c>
      <c r="E20" s="327">
        <f>+$E$18*(1+D20)</f>
        <v>1783605.7368914401</v>
      </c>
      <c r="F20" s="328">
        <v>278196.58815345017</v>
      </c>
      <c r="G20" s="277">
        <v>0.6848026362779237</v>
      </c>
      <c r="H20" s="275" t="s">
        <v>229</v>
      </c>
      <c r="I20" s="256" t="s">
        <v>302</v>
      </c>
      <c r="J20" s="260"/>
      <c r="K20" s="324" t="s">
        <v>299</v>
      </c>
      <c r="L20" s="284"/>
      <c r="M20" s="300"/>
      <c r="N20" s="325"/>
      <c r="O20" s="285"/>
    </row>
    <row r="21" spans="2:15" ht="18.75" thickBot="1">
      <c r="B21" s="256"/>
      <c r="C21" s="329"/>
      <c r="D21" s="330">
        <v>0.15</v>
      </c>
      <c r="E21" s="327">
        <f>+$E$18*(1+D21)</f>
        <v>1864678.7249319598</v>
      </c>
      <c r="F21" s="317">
        <v>334472.30679893226</v>
      </c>
      <c r="G21" s="307">
        <v>0.79530513257253765</v>
      </c>
      <c r="H21" s="331" t="s">
        <v>229</v>
      </c>
      <c r="I21" s="256" t="s">
        <v>304</v>
      </c>
      <c r="J21" s="332"/>
      <c r="K21" s="285"/>
      <c r="L21" s="284"/>
      <c r="M21" s="300"/>
      <c r="N21" s="325"/>
      <c r="O21" s="285"/>
    </row>
    <row r="22" spans="2:15" ht="18">
      <c r="B22" s="256"/>
      <c r="C22" s="309"/>
      <c r="D22" s="260"/>
      <c r="E22" s="260"/>
      <c r="F22" s="260"/>
      <c r="G22" s="260"/>
      <c r="H22" s="311"/>
      <c r="I22" s="256"/>
      <c r="J22" s="260"/>
      <c r="K22" s="324"/>
      <c r="L22" s="284"/>
      <c r="M22" s="300"/>
      <c r="N22" s="325"/>
      <c r="O22" s="285"/>
    </row>
    <row r="23" spans="2:15" ht="18.75" thickBot="1">
      <c r="B23" s="256"/>
      <c r="C23" s="309"/>
      <c r="D23" s="260"/>
      <c r="E23" s="260"/>
      <c r="F23" s="260"/>
      <c r="G23" s="260"/>
      <c r="H23" s="311"/>
      <c r="I23" s="256"/>
      <c r="J23" s="260"/>
      <c r="K23" s="324"/>
      <c r="L23" s="284"/>
      <c r="M23" s="300"/>
      <c r="N23" s="325"/>
      <c r="O23" s="285"/>
    </row>
    <row r="24" spans="2:15" ht="18">
      <c r="B24" s="256"/>
      <c r="C24" s="265" t="s">
        <v>223</v>
      </c>
      <c r="D24" s="266" t="s">
        <v>224</v>
      </c>
      <c r="E24" s="266" t="s">
        <v>225</v>
      </c>
      <c r="F24" s="266" t="s">
        <v>226</v>
      </c>
      <c r="G24" s="266" t="s">
        <v>213</v>
      </c>
      <c r="H24" s="267" t="s">
        <v>227</v>
      </c>
      <c r="I24" s="256"/>
      <c r="J24" s="260"/>
      <c r="K24" s="260"/>
      <c r="L24" s="260"/>
      <c r="M24" s="260"/>
      <c r="N24" s="260"/>
      <c r="O24" s="260"/>
    </row>
    <row r="25" spans="2:15" ht="18">
      <c r="B25" s="256"/>
      <c r="C25" s="333"/>
      <c r="D25" s="315">
        <v>-0.15</v>
      </c>
      <c r="E25" s="334">
        <f>$E$28*(1+D25)</f>
        <v>346402.49151943979</v>
      </c>
      <c r="F25" s="276">
        <v>338996.28809273534</v>
      </c>
      <c r="G25" s="335">
        <v>0.85043047133250749</v>
      </c>
      <c r="H25" s="275" t="s">
        <v>229</v>
      </c>
      <c r="I25" s="256" t="s">
        <v>130</v>
      </c>
      <c r="J25" s="260"/>
      <c r="K25" s="260"/>
      <c r="L25" s="260"/>
      <c r="M25" s="260"/>
      <c r="N25" s="260"/>
      <c r="O25" s="260"/>
    </row>
    <row r="26" spans="2:15" ht="18">
      <c r="B26" s="256"/>
      <c r="C26" s="333"/>
      <c r="D26" s="315">
        <v>-0.1</v>
      </c>
      <c r="E26" s="334">
        <f>$E$28*(1+D26)</f>
        <v>366779.10866764211</v>
      </c>
      <c r="F26" s="276">
        <v>281773.3592536932</v>
      </c>
      <c r="G26" s="335">
        <v>0.71896065581566904</v>
      </c>
      <c r="H26" s="275" t="s">
        <v>229</v>
      </c>
      <c r="I26" s="256" t="s">
        <v>131</v>
      </c>
      <c r="J26" s="260"/>
      <c r="K26" s="260"/>
      <c r="L26" s="260"/>
      <c r="M26" s="260"/>
      <c r="N26" s="260"/>
      <c r="O26" s="260"/>
    </row>
    <row r="27" spans="2:15" ht="18">
      <c r="B27" s="256"/>
      <c r="C27" s="333"/>
      <c r="D27" s="315">
        <v>-0.05</v>
      </c>
      <c r="E27" s="334">
        <f>$E$28*(1+D27)</f>
        <v>387155.72581584443</v>
      </c>
      <c r="F27" s="276">
        <v>223659.12801934595</v>
      </c>
      <c r="G27" s="335">
        <v>0.59253421248959404</v>
      </c>
      <c r="H27" s="275" t="s">
        <v>229</v>
      </c>
      <c r="I27" s="256" t="s">
        <v>131</v>
      </c>
      <c r="J27" s="318"/>
      <c r="K27" s="318"/>
      <c r="L27" s="318"/>
      <c r="M27" s="318"/>
      <c r="N27" s="318"/>
      <c r="O27" s="318"/>
    </row>
    <row r="28" spans="2:15" ht="18">
      <c r="B28" s="256"/>
      <c r="C28" s="336" t="s">
        <v>232</v>
      </c>
      <c r="D28" s="320">
        <v>0</v>
      </c>
      <c r="E28" s="337">
        <v>407532.34296404681</v>
      </c>
      <c r="F28" s="322">
        <f>F18</f>
        <v>165544.89678499859</v>
      </c>
      <c r="G28" s="338">
        <f>G18</f>
        <v>0.47757197320145717</v>
      </c>
      <c r="H28" s="339" t="s">
        <v>229</v>
      </c>
      <c r="I28" s="256" t="s">
        <v>131</v>
      </c>
      <c r="J28" s="318"/>
      <c r="K28" s="318"/>
      <c r="L28" s="318"/>
      <c r="M28" s="318"/>
      <c r="N28" s="318"/>
      <c r="O28" s="318"/>
    </row>
    <row r="29" spans="2:15" ht="18">
      <c r="B29" s="256"/>
      <c r="C29" s="340"/>
      <c r="D29" s="315">
        <v>0.05</v>
      </c>
      <c r="E29" s="334">
        <f>$E$28*(1+D29)</f>
        <v>427908.96011224919</v>
      </c>
      <c r="F29" s="276">
        <v>106114.6257216558</v>
      </c>
      <c r="G29" s="335">
        <v>0.37098402008534132</v>
      </c>
      <c r="H29" s="339" t="s">
        <v>229</v>
      </c>
      <c r="I29" s="256" t="s">
        <v>131</v>
      </c>
      <c r="J29" s="318"/>
      <c r="K29" s="318"/>
      <c r="L29" s="318"/>
      <c r="M29" s="318"/>
      <c r="N29" s="318"/>
      <c r="O29" s="318"/>
    </row>
    <row r="30" spans="2:15" ht="18">
      <c r="B30" s="256"/>
      <c r="C30" s="341"/>
      <c r="D30" s="315">
        <v>0.1</v>
      </c>
      <c r="E30" s="334">
        <f>$E$28*(1+D30)</f>
        <v>448285.57726045151</v>
      </c>
      <c r="F30" s="276">
        <v>42201.649686046672</v>
      </c>
      <c r="G30" s="335">
        <v>0.26902858560405685</v>
      </c>
      <c r="H30" s="275" t="s">
        <v>229</v>
      </c>
      <c r="I30" s="256" t="s">
        <v>133</v>
      </c>
      <c r="J30" s="318"/>
      <c r="K30" s="318"/>
      <c r="L30" s="318"/>
      <c r="M30" s="318"/>
      <c r="N30" s="318"/>
      <c r="O30" s="318"/>
    </row>
    <row r="31" spans="2:15" ht="18.75" thickBot="1">
      <c r="B31" s="256"/>
      <c r="C31" s="342"/>
      <c r="D31" s="330">
        <v>0.15</v>
      </c>
      <c r="E31" s="343">
        <f>$E$28*(1+D31)</f>
        <v>468662.19440865377</v>
      </c>
      <c r="F31" s="344">
        <v>-25175.26842960967</v>
      </c>
      <c r="G31" s="345">
        <v>0.17765682402294403</v>
      </c>
      <c r="H31" s="331" t="s">
        <v>228</v>
      </c>
      <c r="I31" s="256" t="s">
        <v>133</v>
      </c>
      <c r="J31" s="318"/>
      <c r="K31" s="285"/>
      <c r="L31" s="284"/>
      <c r="M31" s="300"/>
      <c r="N31" s="284"/>
      <c r="O31" s="285"/>
    </row>
    <row r="32" spans="2:15" ht="18">
      <c r="B32" s="256"/>
      <c r="C32" s="256"/>
      <c r="D32" s="256"/>
      <c r="E32" s="256"/>
      <c r="F32" s="256"/>
      <c r="G32" s="256"/>
      <c r="H32" s="256"/>
      <c r="I32" s="256"/>
      <c r="J32" s="285"/>
      <c r="K32" s="324"/>
      <c r="L32" s="284"/>
      <c r="M32" s="300"/>
      <c r="N32" s="284"/>
      <c r="O32" s="285"/>
    </row>
    <row r="33" spans="10:15">
      <c r="J33" s="189"/>
      <c r="K33" s="209"/>
      <c r="L33" s="188"/>
      <c r="M33" s="67"/>
      <c r="N33" s="188"/>
      <c r="O33" s="189"/>
    </row>
    <row r="34" spans="10:15">
      <c r="J34" s="173"/>
      <c r="K34" s="173"/>
      <c r="L34" s="173"/>
      <c r="M34" s="173"/>
      <c r="N34" s="173"/>
      <c r="O34" s="173"/>
    </row>
  </sheetData>
  <mergeCells count="3">
    <mergeCell ref="C2:H2"/>
    <mergeCell ref="I15:O15"/>
    <mergeCell ref="I5:O5"/>
  </mergeCells>
  <pageMargins left="0.75" right="0.75" top="1" bottom="1" header="0" footer="0"/>
  <pageSetup paperSize="9" orientation="portrait" r:id="rId1"/>
  <headerFooter alignWithMargins="0"/>
  <ignoredErrors>
    <ignoredError sqref="E8" formula="1"/>
  </ignoredErrors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B2:M49"/>
  <sheetViews>
    <sheetView topLeftCell="B27" zoomScale="60" zoomScaleNormal="60" workbookViewId="0">
      <selection activeCell="F17" sqref="F17"/>
    </sheetView>
  </sheetViews>
  <sheetFormatPr baseColWidth="10" defaultRowHeight="15.75"/>
  <cols>
    <col min="1" max="2" width="11.42578125" style="169"/>
    <col min="3" max="3" width="21.5703125" style="169" customWidth="1"/>
    <col min="4" max="4" width="14.7109375" style="169" customWidth="1"/>
    <col min="5" max="5" width="24.28515625" style="169" customWidth="1"/>
    <col min="6" max="6" width="16.42578125" style="169" customWidth="1"/>
    <col min="7" max="7" width="11.42578125" style="169"/>
    <col min="8" max="8" width="18" style="169" customWidth="1"/>
    <col min="9" max="9" width="20" style="169" customWidth="1"/>
    <col min="10" max="11" width="11.42578125" style="169"/>
    <col min="12" max="12" width="12.28515625" style="169" customWidth="1"/>
    <col min="13" max="256" width="11.42578125" style="169"/>
    <col min="257" max="257" width="15.28515625" style="169" customWidth="1"/>
    <col min="258" max="263" width="11.42578125" style="169"/>
    <col min="264" max="264" width="14" style="169" customWidth="1"/>
    <col min="265" max="267" width="11.42578125" style="169"/>
    <col min="268" max="268" width="12.28515625" style="169" customWidth="1"/>
    <col min="269" max="512" width="11.42578125" style="169"/>
    <col min="513" max="513" width="15.28515625" style="169" customWidth="1"/>
    <col min="514" max="519" width="11.42578125" style="169"/>
    <col min="520" max="520" width="14" style="169" customWidth="1"/>
    <col min="521" max="523" width="11.42578125" style="169"/>
    <col min="524" max="524" width="12.28515625" style="169" customWidth="1"/>
    <col min="525" max="768" width="11.42578125" style="169"/>
    <col min="769" max="769" width="15.28515625" style="169" customWidth="1"/>
    <col min="770" max="775" width="11.42578125" style="169"/>
    <col min="776" max="776" width="14" style="169" customWidth="1"/>
    <col min="777" max="779" width="11.42578125" style="169"/>
    <col min="780" max="780" width="12.28515625" style="169" customWidth="1"/>
    <col min="781" max="1024" width="11.42578125" style="169"/>
    <col min="1025" max="1025" width="15.28515625" style="169" customWidth="1"/>
    <col min="1026" max="1031" width="11.42578125" style="169"/>
    <col min="1032" max="1032" width="14" style="169" customWidth="1"/>
    <col min="1033" max="1035" width="11.42578125" style="169"/>
    <col min="1036" max="1036" width="12.28515625" style="169" customWidth="1"/>
    <col min="1037" max="1280" width="11.42578125" style="169"/>
    <col min="1281" max="1281" width="15.28515625" style="169" customWidth="1"/>
    <col min="1282" max="1287" width="11.42578125" style="169"/>
    <col min="1288" max="1288" width="14" style="169" customWidth="1"/>
    <col min="1289" max="1291" width="11.42578125" style="169"/>
    <col min="1292" max="1292" width="12.28515625" style="169" customWidth="1"/>
    <col min="1293" max="1536" width="11.42578125" style="169"/>
    <col min="1537" max="1537" width="15.28515625" style="169" customWidth="1"/>
    <col min="1538" max="1543" width="11.42578125" style="169"/>
    <col min="1544" max="1544" width="14" style="169" customWidth="1"/>
    <col min="1545" max="1547" width="11.42578125" style="169"/>
    <col min="1548" max="1548" width="12.28515625" style="169" customWidth="1"/>
    <col min="1549" max="1792" width="11.42578125" style="169"/>
    <col min="1793" max="1793" width="15.28515625" style="169" customWidth="1"/>
    <col min="1794" max="1799" width="11.42578125" style="169"/>
    <col min="1800" max="1800" width="14" style="169" customWidth="1"/>
    <col min="1801" max="1803" width="11.42578125" style="169"/>
    <col min="1804" max="1804" width="12.28515625" style="169" customWidth="1"/>
    <col min="1805" max="2048" width="11.42578125" style="169"/>
    <col min="2049" max="2049" width="15.28515625" style="169" customWidth="1"/>
    <col min="2050" max="2055" width="11.42578125" style="169"/>
    <col min="2056" max="2056" width="14" style="169" customWidth="1"/>
    <col min="2057" max="2059" width="11.42578125" style="169"/>
    <col min="2060" max="2060" width="12.28515625" style="169" customWidth="1"/>
    <col min="2061" max="2304" width="11.42578125" style="169"/>
    <col min="2305" max="2305" width="15.28515625" style="169" customWidth="1"/>
    <col min="2306" max="2311" width="11.42578125" style="169"/>
    <col min="2312" max="2312" width="14" style="169" customWidth="1"/>
    <col min="2313" max="2315" width="11.42578125" style="169"/>
    <col min="2316" max="2316" width="12.28515625" style="169" customWidth="1"/>
    <col min="2317" max="2560" width="11.42578125" style="169"/>
    <col min="2561" max="2561" width="15.28515625" style="169" customWidth="1"/>
    <col min="2562" max="2567" width="11.42578125" style="169"/>
    <col min="2568" max="2568" width="14" style="169" customWidth="1"/>
    <col min="2569" max="2571" width="11.42578125" style="169"/>
    <col min="2572" max="2572" width="12.28515625" style="169" customWidth="1"/>
    <col min="2573" max="2816" width="11.42578125" style="169"/>
    <col min="2817" max="2817" width="15.28515625" style="169" customWidth="1"/>
    <col min="2818" max="2823" width="11.42578125" style="169"/>
    <col min="2824" max="2824" width="14" style="169" customWidth="1"/>
    <col min="2825" max="2827" width="11.42578125" style="169"/>
    <col min="2828" max="2828" width="12.28515625" style="169" customWidth="1"/>
    <col min="2829" max="3072" width="11.42578125" style="169"/>
    <col min="3073" max="3073" width="15.28515625" style="169" customWidth="1"/>
    <col min="3074" max="3079" width="11.42578125" style="169"/>
    <col min="3080" max="3080" width="14" style="169" customWidth="1"/>
    <col min="3081" max="3083" width="11.42578125" style="169"/>
    <col min="3084" max="3084" width="12.28515625" style="169" customWidth="1"/>
    <col min="3085" max="3328" width="11.42578125" style="169"/>
    <col min="3329" max="3329" width="15.28515625" style="169" customWidth="1"/>
    <col min="3330" max="3335" width="11.42578125" style="169"/>
    <col min="3336" max="3336" width="14" style="169" customWidth="1"/>
    <col min="3337" max="3339" width="11.42578125" style="169"/>
    <col min="3340" max="3340" width="12.28515625" style="169" customWidth="1"/>
    <col min="3341" max="3584" width="11.42578125" style="169"/>
    <col min="3585" max="3585" width="15.28515625" style="169" customWidth="1"/>
    <col min="3586" max="3591" width="11.42578125" style="169"/>
    <col min="3592" max="3592" width="14" style="169" customWidth="1"/>
    <col min="3593" max="3595" width="11.42578125" style="169"/>
    <col min="3596" max="3596" width="12.28515625" style="169" customWidth="1"/>
    <col min="3597" max="3840" width="11.42578125" style="169"/>
    <col min="3841" max="3841" width="15.28515625" style="169" customWidth="1"/>
    <col min="3842" max="3847" width="11.42578125" style="169"/>
    <col min="3848" max="3848" width="14" style="169" customWidth="1"/>
    <col min="3849" max="3851" width="11.42578125" style="169"/>
    <col min="3852" max="3852" width="12.28515625" style="169" customWidth="1"/>
    <col min="3853" max="4096" width="11.42578125" style="169"/>
    <col min="4097" max="4097" width="15.28515625" style="169" customWidth="1"/>
    <col min="4098" max="4103" width="11.42578125" style="169"/>
    <col min="4104" max="4104" width="14" style="169" customWidth="1"/>
    <col min="4105" max="4107" width="11.42578125" style="169"/>
    <col min="4108" max="4108" width="12.28515625" style="169" customWidth="1"/>
    <col min="4109" max="4352" width="11.42578125" style="169"/>
    <col min="4353" max="4353" width="15.28515625" style="169" customWidth="1"/>
    <col min="4354" max="4359" width="11.42578125" style="169"/>
    <col min="4360" max="4360" width="14" style="169" customWidth="1"/>
    <col min="4361" max="4363" width="11.42578125" style="169"/>
    <col min="4364" max="4364" width="12.28515625" style="169" customWidth="1"/>
    <col min="4365" max="4608" width="11.42578125" style="169"/>
    <col min="4609" max="4609" width="15.28515625" style="169" customWidth="1"/>
    <col min="4610" max="4615" width="11.42578125" style="169"/>
    <col min="4616" max="4616" width="14" style="169" customWidth="1"/>
    <col min="4617" max="4619" width="11.42578125" style="169"/>
    <col min="4620" max="4620" width="12.28515625" style="169" customWidth="1"/>
    <col min="4621" max="4864" width="11.42578125" style="169"/>
    <col min="4865" max="4865" width="15.28515625" style="169" customWidth="1"/>
    <col min="4866" max="4871" width="11.42578125" style="169"/>
    <col min="4872" max="4872" width="14" style="169" customWidth="1"/>
    <col min="4873" max="4875" width="11.42578125" style="169"/>
    <col min="4876" max="4876" width="12.28515625" style="169" customWidth="1"/>
    <col min="4877" max="5120" width="11.42578125" style="169"/>
    <col min="5121" max="5121" width="15.28515625" style="169" customWidth="1"/>
    <col min="5122" max="5127" width="11.42578125" style="169"/>
    <col min="5128" max="5128" width="14" style="169" customWidth="1"/>
    <col min="5129" max="5131" width="11.42578125" style="169"/>
    <col min="5132" max="5132" width="12.28515625" style="169" customWidth="1"/>
    <col min="5133" max="5376" width="11.42578125" style="169"/>
    <col min="5377" max="5377" width="15.28515625" style="169" customWidth="1"/>
    <col min="5378" max="5383" width="11.42578125" style="169"/>
    <col min="5384" max="5384" width="14" style="169" customWidth="1"/>
    <col min="5385" max="5387" width="11.42578125" style="169"/>
    <col min="5388" max="5388" width="12.28515625" style="169" customWidth="1"/>
    <col min="5389" max="5632" width="11.42578125" style="169"/>
    <col min="5633" max="5633" width="15.28515625" style="169" customWidth="1"/>
    <col min="5634" max="5639" width="11.42578125" style="169"/>
    <col min="5640" max="5640" width="14" style="169" customWidth="1"/>
    <col min="5641" max="5643" width="11.42578125" style="169"/>
    <col min="5644" max="5644" width="12.28515625" style="169" customWidth="1"/>
    <col min="5645" max="5888" width="11.42578125" style="169"/>
    <col min="5889" max="5889" width="15.28515625" style="169" customWidth="1"/>
    <col min="5890" max="5895" width="11.42578125" style="169"/>
    <col min="5896" max="5896" width="14" style="169" customWidth="1"/>
    <col min="5897" max="5899" width="11.42578125" style="169"/>
    <col min="5900" max="5900" width="12.28515625" style="169" customWidth="1"/>
    <col min="5901" max="6144" width="11.42578125" style="169"/>
    <col min="6145" max="6145" width="15.28515625" style="169" customWidth="1"/>
    <col min="6146" max="6151" width="11.42578125" style="169"/>
    <col min="6152" max="6152" width="14" style="169" customWidth="1"/>
    <col min="6153" max="6155" width="11.42578125" style="169"/>
    <col min="6156" max="6156" width="12.28515625" style="169" customWidth="1"/>
    <col min="6157" max="6400" width="11.42578125" style="169"/>
    <col min="6401" max="6401" width="15.28515625" style="169" customWidth="1"/>
    <col min="6402" max="6407" width="11.42578125" style="169"/>
    <col min="6408" max="6408" width="14" style="169" customWidth="1"/>
    <col min="6409" max="6411" width="11.42578125" style="169"/>
    <col min="6412" max="6412" width="12.28515625" style="169" customWidth="1"/>
    <col min="6413" max="6656" width="11.42578125" style="169"/>
    <col min="6657" max="6657" width="15.28515625" style="169" customWidth="1"/>
    <col min="6658" max="6663" width="11.42578125" style="169"/>
    <col min="6664" max="6664" width="14" style="169" customWidth="1"/>
    <col min="6665" max="6667" width="11.42578125" style="169"/>
    <col min="6668" max="6668" width="12.28515625" style="169" customWidth="1"/>
    <col min="6669" max="6912" width="11.42578125" style="169"/>
    <col min="6913" max="6913" width="15.28515625" style="169" customWidth="1"/>
    <col min="6914" max="6919" width="11.42578125" style="169"/>
    <col min="6920" max="6920" width="14" style="169" customWidth="1"/>
    <col min="6921" max="6923" width="11.42578125" style="169"/>
    <col min="6924" max="6924" width="12.28515625" style="169" customWidth="1"/>
    <col min="6925" max="7168" width="11.42578125" style="169"/>
    <col min="7169" max="7169" width="15.28515625" style="169" customWidth="1"/>
    <col min="7170" max="7175" width="11.42578125" style="169"/>
    <col min="7176" max="7176" width="14" style="169" customWidth="1"/>
    <col min="7177" max="7179" width="11.42578125" style="169"/>
    <col min="7180" max="7180" width="12.28515625" style="169" customWidth="1"/>
    <col min="7181" max="7424" width="11.42578125" style="169"/>
    <col min="7425" max="7425" width="15.28515625" style="169" customWidth="1"/>
    <col min="7426" max="7431" width="11.42578125" style="169"/>
    <col min="7432" max="7432" width="14" style="169" customWidth="1"/>
    <col min="7433" max="7435" width="11.42578125" style="169"/>
    <col min="7436" max="7436" width="12.28515625" style="169" customWidth="1"/>
    <col min="7437" max="7680" width="11.42578125" style="169"/>
    <col min="7681" max="7681" width="15.28515625" style="169" customWidth="1"/>
    <col min="7682" max="7687" width="11.42578125" style="169"/>
    <col min="7688" max="7688" width="14" style="169" customWidth="1"/>
    <col min="7689" max="7691" width="11.42578125" style="169"/>
    <col min="7692" max="7692" width="12.28515625" style="169" customWidth="1"/>
    <col min="7693" max="7936" width="11.42578125" style="169"/>
    <col min="7937" max="7937" width="15.28515625" style="169" customWidth="1"/>
    <col min="7938" max="7943" width="11.42578125" style="169"/>
    <col min="7944" max="7944" width="14" style="169" customWidth="1"/>
    <col min="7945" max="7947" width="11.42578125" style="169"/>
    <col min="7948" max="7948" width="12.28515625" style="169" customWidth="1"/>
    <col min="7949" max="8192" width="11.42578125" style="169"/>
    <col min="8193" max="8193" width="15.28515625" style="169" customWidth="1"/>
    <col min="8194" max="8199" width="11.42578125" style="169"/>
    <col min="8200" max="8200" width="14" style="169" customWidth="1"/>
    <col min="8201" max="8203" width="11.42578125" style="169"/>
    <col min="8204" max="8204" width="12.28515625" style="169" customWidth="1"/>
    <col min="8205" max="8448" width="11.42578125" style="169"/>
    <col min="8449" max="8449" width="15.28515625" style="169" customWidth="1"/>
    <col min="8450" max="8455" width="11.42578125" style="169"/>
    <col min="8456" max="8456" width="14" style="169" customWidth="1"/>
    <col min="8457" max="8459" width="11.42578125" style="169"/>
    <col min="8460" max="8460" width="12.28515625" style="169" customWidth="1"/>
    <col min="8461" max="8704" width="11.42578125" style="169"/>
    <col min="8705" max="8705" width="15.28515625" style="169" customWidth="1"/>
    <col min="8706" max="8711" width="11.42578125" style="169"/>
    <col min="8712" max="8712" width="14" style="169" customWidth="1"/>
    <col min="8713" max="8715" width="11.42578125" style="169"/>
    <col min="8716" max="8716" width="12.28515625" style="169" customWidth="1"/>
    <col min="8717" max="8960" width="11.42578125" style="169"/>
    <col min="8961" max="8961" width="15.28515625" style="169" customWidth="1"/>
    <col min="8962" max="8967" width="11.42578125" style="169"/>
    <col min="8968" max="8968" width="14" style="169" customWidth="1"/>
    <col min="8969" max="8971" width="11.42578125" style="169"/>
    <col min="8972" max="8972" width="12.28515625" style="169" customWidth="1"/>
    <col min="8973" max="9216" width="11.42578125" style="169"/>
    <col min="9217" max="9217" width="15.28515625" style="169" customWidth="1"/>
    <col min="9218" max="9223" width="11.42578125" style="169"/>
    <col min="9224" max="9224" width="14" style="169" customWidth="1"/>
    <col min="9225" max="9227" width="11.42578125" style="169"/>
    <col min="9228" max="9228" width="12.28515625" style="169" customWidth="1"/>
    <col min="9229" max="9472" width="11.42578125" style="169"/>
    <col min="9473" max="9473" width="15.28515625" style="169" customWidth="1"/>
    <col min="9474" max="9479" width="11.42578125" style="169"/>
    <col min="9480" max="9480" width="14" style="169" customWidth="1"/>
    <col min="9481" max="9483" width="11.42578125" style="169"/>
    <col min="9484" max="9484" width="12.28515625" style="169" customWidth="1"/>
    <col min="9485" max="9728" width="11.42578125" style="169"/>
    <col min="9729" max="9729" width="15.28515625" style="169" customWidth="1"/>
    <col min="9730" max="9735" width="11.42578125" style="169"/>
    <col min="9736" max="9736" width="14" style="169" customWidth="1"/>
    <col min="9737" max="9739" width="11.42578125" style="169"/>
    <col min="9740" max="9740" width="12.28515625" style="169" customWidth="1"/>
    <col min="9741" max="9984" width="11.42578125" style="169"/>
    <col min="9985" max="9985" width="15.28515625" style="169" customWidth="1"/>
    <col min="9986" max="9991" width="11.42578125" style="169"/>
    <col min="9992" max="9992" width="14" style="169" customWidth="1"/>
    <col min="9993" max="9995" width="11.42578125" style="169"/>
    <col min="9996" max="9996" width="12.28515625" style="169" customWidth="1"/>
    <col min="9997" max="10240" width="11.42578125" style="169"/>
    <col min="10241" max="10241" width="15.28515625" style="169" customWidth="1"/>
    <col min="10242" max="10247" width="11.42578125" style="169"/>
    <col min="10248" max="10248" width="14" style="169" customWidth="1"/>
    <col min="10249" max="10251" width="11.42578125" style="169"/>
    <col min="10252" max="10252" width="12.28515625" style="169" customWidth="1"/>
    <col min="10253" max="10496" width="11.42578125" style="169"/>
    <col min="10497" max="10497" width="15.28515625" style="169" customWidth="1"/>
    <col min="10498" max="10503" width="11.42578125" style="169"/>
    <col min="10504" max="10504" width="14" style="169" customWidth="1"/>
    <col min="10505" max="10507" width="11.42578125" style="169"/>
    <col min="10508" max="10508" width="12.28515625" style="169" customWidth="1"/>
    <col min="10509" max="10752" width="11.42578125" style="169"/>
    <col min="10753" max="10753" width="15.28515625" style="169" customWidth="1"/>
    <col min="10754" max="10759" width="11.42578125" style="169"/>
    <col min="10760" max="10760" width="14" style="169" customWidth="1"/>
    <col min="10761" max="10763" width="11.42578125" style="169"/>
    <col min="10764" max="10764" width="12.28515625" style="169" customWidth="1"/>
    <col min="10765" max="11008" width="11.42578125" style="169"/>
    <col min="11009" max="11009" width="15.28515625" style="169" customWidth="1"/>
    <col min="11010" max="11015" width="11.42578125" style="169"/>
    <col min="11016" max="11016" width="14" style="169" customWidth="1"/>
    <col min="11017" max="11019" width="11.42578125" style="169"/>
    <col min="11020" max="11020" width="12.28515625" style="169" customWidth="1"/>
    <col min="11021" max="11264" width="11.42578125" style="169"/>
    <col min="11265" max="11265" width="15.28515625" style="169" customWidth="1"/>
    <col min="11266" max="11271" width="11.42578125" style="169"/>
    <col min="11272" max="11272" width="14" style="169" customWidth="1"/>
    <col min="11273" max="11275" width="11.42578125" style="169"/>
    <col min="11276" max="11276" width="12.28515625" style="169" customWidth="1"/>
    <col min="11277" max="11520" width="11.42578125" style="169"/>
    <col min="11521" max="11521" width="15.28515625" style="169" customWidth="1"/>
    <col min="11522" max="11527" width="11.42578125" style="169"/>
    <col min="11528" max="11528" width="14" style="169" customWidth="1"/>
    <col min="11529" max="11531" width="11.42578125" style="169"/>
    <col min="11532" max="11532" width="12.28515625" style="169" customWidth="1"/>
    <col min="11533" max="11776" width="11.42578125" style="169"/>
    <col min="11777" max="11777" width="15.28515625" style="169" customWidth="1"/>
    <col min="11778" max="11783" width="11.42578125" style="169"/>
    <col min="11784" max="11784" width="14" style="169" customWidth="1"/>
    <col min="11785" max="11787" width="11.42578125" style="169"/>
    <col min="11788" max="11788" width="12.28515625" style="169" customWidth="1"/>
    <col min="11789" max="12032" width="11.42578125" style="169"/>
    <col min="12033" max="12033" width="15.28515625" style="169" customWidth="1"/>
    <col min="12034" max="12039" width="11.42578125" style="169"/>
    <col min="12040" max="12040" width="14" style="169" customWidth="1"/>
    <col min="12041" max="12043" width="11.42578125" style="169"/>
    <col min="12044" max="12044" width="12.28515625" style="169" customWidth="1"/>
    <col min="12045" max="12288" width="11.42578125" style="169"/>
    <col min="12289" max="12289" width="15.28515625" style="169" customWidth="1"/>
    <col min="12290" max="12295" width="11.42578125" style="169"/>
    <col min="12296" max="12296" width="14" style="169" customWidth="1"/>
    <col min="12297" max="12299" width="11.42578125" style="169"/>
    <col min="12300" max="12300" width="12.28515625" style="169" customWidth="1"/>
    <col min="12301" max="12544" width="11.42578125" style="169"/>
    <col min="12545" max="12545" width="15.28515625" style="169" customWidth="1"/>
    <col min="12546" max="12551" width="11.42578125" style="169"/>
    <col min="12552" max="12552" width="14" style="169" customWidth="1"/>
    <col min="12553" max="12555" width="11.42578125" style="169"/>
    <col min="12556" max="12556" width="12.28515625" style="169" customWidth="1"/>
    <col min="12557" max="12800" width="11.42578125" style="169"/>
    <col min="12801" max="12801" width="15.28515625" style="169" customWidth="1"/>
    <col min="12802" max="12807" width="11.42578125" style="169"/>
    <col min="12808" max="12808" width="14" style="169" customWidth="1"/>
    <col min="12809" max="12811" width="11.42578125" style="169"/>
    <col min="12812" max="12812" width="12.28515625" style="169" customWidth="1"/>
    <col min="12813" max="13056" width="11.42578125" style="169"/>
    <col min="13057" max="13057" width="15.28515625" style="169" customWidth="1"/>
    <col min="13058" max="13063" width="11.42578125" style="169"/>
    <col min="13064" max="13064" width="14" style="169" customWidth="1"/>
    <col min="13065" max="13067" width="11.42578125" style="169"/>
    <col min="13068" max="13068" width="12.28515625" style="169" customWidth="1"/>
    <col min="13069" max="13312" width="11.42578125" style="169"/>
    <col min="13313" max="13313" width="15.28515625" style="169" customWidth="1"/>
    <col min="13314" max="13319" width="11.42578125" style="169"/>
    <col min="13320" max="13320" width="14" style="169" customWidth="1"/>
    <col min="13321" max="13323" width="11.42578125" style="169"/>
    <col min="13324" max="13324" width="12.28515625" style="169" customWidth="1"/>
    <col min="13325" max="13568" width="11.42578125" style="169"/>
    <col min="13569" max="13569" width="15.28515625" style="169" customWidth="1"/>
    <col min="13570" max="13575" width="11.42578125" style="169"/>
    <col min="13576" max="13576" width="14" style="169" customWidth="1"/>
    <col min="13577" max="13579" width="11.42578125" style="169"/>
    <col min="13580" max="13580" width="12.28515625" style="169" customWidth="1"/>
    <col min="13581" max="13824" width="11.42578125" style="169"/>
    <col min="13825" max="13825" width="15.28515625" style="169" customWidth="1"/>
    <col min="13826" max="13831" width="11.42578125" style="169"/>
    <col min="13832" max="13832" width="14" style="169" customWidth="1"/>
    <col min="13833" max="13835" width="11.42578125" style="169"/>
    <col min="13836" max="13836" width="12.28515625" style="169" customWidth="1"/>
    <col min="13837" max="14080" width="11.42578125" style="169"/>
    <col min="14081" max="14081" width="15.28515625" style="169" customWidth="1"/>
    <col min="14082" max="14087" width="11.42578125" style="169"/>
    <col min="14088" max="14088" width="14" style="169" customWidth="1"/>
    <col min="14089" max="14091" width="11.42578125" style="169"/>
    <col min="14092" max="14092" width="12.28515625" style="169" customWidth="1"/>
    <col min="14093" max="14336" width="11.42578125" style="169"/>
    <col min="14337" max="14337" width="15.28515625" style="169" customWidth="1"/>
    <col min="14338" max="14343" width="11.42578125" style="169"/>
    <col min="14344" max="14344" width="14" style="169" customWidth="1"/>
    <col min="14345" max="14347" width="11.42578125" style="169"/>
    <col min="14348" max="14348" width="12.28515625" style="169" customWidth="1"/>
    <col min="14349" max="14592" width="11.42578125" style="169"/>
    <col min="14593" max="14593" width="15.28515625" style="169" customWidth="1"/>
    <col min="14594" max="14599" width="11.42578125" style="169"/>
    <col min="14600" max="14600" width="14" style="169" customWidth="1"/>
    <col min="14601" max="14603" width="11.42578125" style="169"/>
    <col min="14604" max="14604" width="12.28515625" style="169" customWidth="1"/>
    <col min="14605" max="14848" width="11.42578125" style="169"/>
    <col min="14849" max="14849" width="15.28515625" style="169" customWidth="1"/>
    <col min="14850" max="14855" width="11.42578125" style="169"/>
    <col min="14856" max="14856" width="14" style="169" customWidth="1"/>
    <col min="14857" max="14859" width="11.42578125" style="169"/>
    <col min="14860" max="14860" width="12.28515625" style="169" customWidth="1"/>
    <col min="14861" max="15104" width="11.42578125" style="169"/>
    <col min="15105" max="15105" width="15.28515625" style="169" customWidth="1"/>
    <col min="15106" max="15111" width="11.42578125" style="169"/>
    <col min="15112" max="15112" width="14" style="169" customWidth="1"/>
    <col min="15113" max="15115" width="11.42578125" style="169"/>
    <col min="15116" max="15116" width="12.28515625" style="169" customWidth="1"/>
    <col min="15117" max="15360" width="11.42578125" style="169"/>
    <col min="15361" max="15361" width="15.28515625" style="169" customWidth="1"/>
    <col min="15362" max="15367" width="11.42578125" style="169"/>
    <col min="15368" max="15368" width="14" style="169" customWidth="1"/>
    <col min="15369" max="15371" width="11.42578125" style="169"/>
    <col min="15372" max="15372" width="12.28515625" style="169" customWidth="1"/>
    <col min="15373" max="15616" width="11.42578125" style="169"/>
    <col min="15617" max="15617" width="15.28515625" style="169" customWidth="1"/>
    <col min="15618" max="15623" width="11.42578125" style="169"/>
    <col min="15624" max="15624" width="14" style="169" customWidth="1"/>
    <col min="15625" max="15627" width="11.42578125" style="169"/>
    <col min="15628" max="15628" width="12.28515625" style="169" customWidth="1"/>
    <col min="15629" max="15872" width="11.42578125" style="169"/>
    <col min="15873" max="15873" width="15.28515625" style="169" customWidth="1"/>
    <col min="15874" max="15879" width="11.42578125" style="169"/>
    <col min="15880" max="15880" width="14" style="169" customWidth="1"/>
    <col min="15881" max="15883" width="11.42578125" style="169"/>
    <col min="15884" max="15884" width="12.28515625" style="169" customWidth="1"/>
    <col min="15885" max="16128" width="11.42578125" style="169"/>
    <col min="16129" max="16129" width="15.28515625" style="169" customWidth="1"/>
    <col min="16130" max="16135" width="11.42578125" style="169"/>
    <col min="16136" max="16136" width="14" style="169" customWidth="1"/>
    <col min="16137" max="16139" width="11.42578125" style="169"/>
    <col min="16140" max="16140" width="12.28515625" style="169" customWidth="1"/>
    <col min="16141" max="16384" width="11.42578125" style="169"/>
  </cols>
  <sheetData>
    <row r="2" spans="2:13" ht="16.5" thickBot="1"/>
    <row r="3" spans="2:13" ht="16.5" thickBot="1">
      <c r="C3" s="445" t="s">
        <v>222</v>
      </c>
      <c r="D3" s="446"/>
      <c r="E3" s="446"/>
      <c r="F3" s="446"/>
      <c r="H3" s="170"/>
      <c r="I3" s="170"/>
      <c r="J3" s="170"/>
      <c r="K3" s="171"/>
      <c r="L3" s="172"/>
      <c r="M3" s="173"/>
    </row>
    <row r="4" spans="2:13" ht="16.5" thickBot="1">
      <c r="C4" s="174"/>
      <c r="D4" s="175"/>
      <c r="E4" s="175"/>
      <c r="F4" s="175"/>
      <c r="H4" s="170"/>
      <c r="I4" s="176"/>
      <c r="J4" s="170"/>
      <c r="K4" s="173"/>
      <c r="L4" s="173"/>
      <c r="M4" s="173"/>
    </row>
    <row r="5" spans="2:13">
      <c r="C5" s="250" t="s">
        <v>223</v>
      </c>
      <c r="D5" s="251" t="s">
        <v>224</v>
      </c>
      <c r="E5" s="251" t="s">
        <v>226</v>
      </c>
      <c r="F5" s="251" t="s">
        <v>213</v>
      </c>
      <c r="H5" s="177"/>
      <c r="I5" s="178"/>
      <c r="J5" s="170"/>
      <c r="L5" s="173"/>
      <c r="M5" s="173"/>
    </row>
    <row r="6" spans="2:13" ht="36" customHeight="1">
      <c r="C6" s="179"/>
      <c r="D6" s="180">
        <v>-0.15</v>
      </c>
      <c r="E6" s="181">
        <v>-89738.060925646816</v>
      </c>
      <c r="F6" s="182">
        <v>8.9721512232866257E-2</v>
      </c>
      <c r="G6" s="447"/>
      <c r="H6" s="448"/>
      <c r="I6" s="448"/>
      <c r="J6" s="448"/>
      <c r="K6" s="448"/>
      <c r="L6" s="448"/>
      <c r="M6" s="448"/>
    </row>
    <row r="7" spans="2:13" ht="18.75" customHeight="1">
      <c r="C7" s="179"/>
      <c r="D7" s="180">
        <v>-0.1</v>
      </c>
      <c r="E7" s="183">
        <v>865.18651108235645</v>
      </c>
      <c r="F7" s="184">
        <v>0.21124379582604014</v>
      </c>
      <c r="G7" s="224"/>
      <c r="H7" s="225"/>
      <c r="I7" s="225"/>
      <c r="J7" s="225"/>
      <c r="K7" s="225"/>
      <c r="L7" s="225"/>
      <c r="M7" s="225"/>
    </row>
    <row r="8" spans="2:13">
      <c r="C8" s="179"/>
      <c r="D8" s="180">
        <v>-0.05</v>
      </c>
      <c r="E8" s="185">
        <v>86281.707928304415</v>
      </c>
      <c r="F8" s="186">
        <v>0.34293928734161511</v>
      </c>
      <c r="H8" s="177"/>
      <c r="I8" s="187"/>
      <c r="J8" s="170"/>
      <c r="K8" s="64"/>
      <c r="L8" s="188"/>
      <c r="M8" s="189"/>
    </row>
    <row r="9" spans="2:13">
      <c r="C9" s="252" t="s">
        <v>230</v>
      </c>
      <c r="D9" s="190">
        <v>0</v>
      </c>
      <c r="E9" s="191">
        <v>165544.89678499859</v>
      </c>
      <c r="F9" s="192">
        <v>0.47757197320145717</v>
      </c>
      <c r="H9" s="177"/>
      <c r="I9" s="178"/>
      <c r="J9" s="193"/>
      <c r="K9" s="65"/>
      <c r="L9" s="188"/>
      <c r="M9" s="189"/>
    </row>
    <row r="10" spans="2:13">
      <c r="C10" s="194"/>
      <c r="D10" s="180">
        <v>0.05</v>
      </c>
      <c r="E10" s="195">
        <v>242800.94156446212</v>
      </c>
      <c r="F10" s="184">
        <v>0.61772333889942477</v>
      </c>
      <c r="H10" s="196"/>
      <c r="I10" s="197"/>
      <c r="J10" s="193"/>
      <c r="K10" s="66"/>
      <c r="L10" s="188"/>
      <c r="M10" s="189"/>
    </row>
    <row r="11" spans="2:13">
      <c r="C11" s="198"/>
      <c r="D11" s="180">
        <v>0.1</v>
      </c>
      <c r="E11" s="195">
        <v>320056.98634392582</v>
      </c>
      <c r="F11" s="184">
        <v>0.76727025473530175</v>
      </c>
      <c r="H11" s="196"/>
      <c r="I11" s="197"/>
      <c r="J11" s="193"/>
      <c r="K11" s="65"/>
      <c r="L11" s="188"/>
      <c r="M11" s="189"/>
    </row>
    <row r="12" spans="2:13" ht="16.5" thickBot="1">
      <c r="C12" s="346"/>
      <c r="D12" s="199">
        <v>0.15</v>
      </c>
      <c r="E12" s="200">
        <v>396701.7858881572</v>
      </c>
      <c r="F12" s="201">
        <v>0.92086134620295945</v>
      </c>
      <c r="H12" s="170"/>
      <c r="I12" s="177"/>
      <c r="J12" s="193"/>
      <c r="K12" s="65"/>
      <c r="L12" s="188"/>
      <c r="M12" s="189"/>
    </row>
    <row r="13" spans="2:13">
      <c r="B13" s="173"/>
      <c r="C13" s="173"/>
      <c r="D13" s="173"/>
      <c r="E13" s="202"/>
      <c r="F13" s="173"/>
      <c r="H13" s="170"/>
      <c r="I13" s="177"/>
      <c r="J13" s="193"/>
      <c r="K13" s="65"/>
      <c r="L13" s="188"/>
      <c r="M13" s="189"/>
    </row>
    <row r="14" spans="2:13">
      <c r="B14" s="173"/>
      <c r="C14" s="173"/>
      <c r="D14" s="173"/>
      <c r="E14" s="173"/>
      <c r="F14" s="173"/>
      <c r="G14" s="173"/>
      <c r="H14" s="173"/>
      <c r="I14" s="173"/>
      <c r="J14" s="173"/>
      <c r="K14" s="173"/>
      <c r="L14" s="173"/>
      <c r="M14" s="173"/>
    </row>
    <row r="15" spans="2:13">
      <c r="E15" s="173"/>
      <c r="F15" s="173"/>
      <c r="G15" s="173"/>
      <c r="H15" s="173"/>
      <c r="I15" s="173"/>
      <c r="J15" s="173"/>
      <c r="K15" s="173"/>
      <c r="L15" s="173"/>
      <c r="M15" s="173"/>
    </row>
    <row r="16" spans="2:13" ht="42.75" customHeight="1">
      <c r="E16" s="173"/>
      <c r="F16" s="173"/>
      <c r="G16" s="448"/>
      <c r="H16" s="448"/>
      <c r="I16" s="448"/>
      <c r="J16" s="448"/>
      <c r="K16" s="448"/>
      <c r="L16" s="448"/>
      <c r="M16" s="448"/>
    </row>
    <row r="17" spans="3:13">
      <c r="E17" s="173"/>
      <c r="F17" s="173"/>
      <c r="G17" s="173"/>
      <c r="H17" s="205"/>
      <c r="I17" s="205"/>
      <c r="J17" s="205"/>
      <c r="K17" s="205"/>
      <c r="L17" s="205"/>
      <c r="M17" s="205"/>
    </row>
    <row r="18" spans="3:13">
      <c r="E18" s="173"/>
      <c r="F18" s="173"/>
      <c r="G18" s="173"/>
      <c r="H18" s="205"/>
      <c r="I18" s="205"/>
      <c r="J18" s="205"/>
      <c r="K18" s="205"/>
      <c r="L18" s="205"/>
      <c r="M18" s="205"/>
    </row>
    <row r="19" spans="3:13">
      <c r="H19" s="173"/>
      <c r="I19" s="209"/>
      <c r="J19" s="188"/>
      <c r="K19" s="66"/>
      <c r="L19" s="210"/>
      <c r="M19" s="189"/>
    </row>
    <row r="20" spans="3:13">
      <c r="H20" s="173"/>
      <c r="I20" s="209"/>
      <c r="J20" s="188"/>
      <c r="K20" s="66"/>
      <c r="L20" s="210"/>
      <c r="M20" s="189"/>
    </row>
    <row r="21" spans="3:13" ht="16.5" thickBot="1">
      <c r="H21" s="173"/>
      <c r="I21" s="209"/>
      <c r="J21" s="188"/>
      <c r="K21" s="66"/>
      <c r="L21" s="210"/>
      <c r="M21" s="189"/>
    </row>
    <row r="22" spans="3:13">
      <c r="C22" s="250" t="s">
        <v>223</v>
      </c>
      <c r="D22" s="251" t="s">
        <v>224</v>
      </c>
      <c r="E22" s="253" t="s">
        <v>226</v>
      </c>
      <c r="F22" s="253" t="s">
        <v>213</v>
      </c>
      <c r="H22" s="215"/>
      <c r="I22" s="189"/>
      <c r="J22" s="188"/>
      <c r="K22" s="66"/>
      <c r="L22" s="210"/>
      <c r="M22" s="189"/>
    </row>
    <row r="23" spans="3:13">
      <c r="C23" s="179"/>
      <c r="D23" s="203">
        <v>-0.15</v>
      </c>
      <c r="E23" s="204">
        <v>-15974.393901365518</v>
      </c>
      <c r="F23" s="184">
        <v>0.18736298392837306</v>
      </c>
      <c r="H23" s="173"/>
      <c r="I23" s="209"/>
      <c r="J23" s="188"/>
      <c r="K23" s="66"/>
      <c r="L23" s="210"/>
      <c r="M23" s="189"/>
    </row>
    <row r="24" spans="3:13">
      <c r="C24" s="179"/>
      <c r="D24" s="203">
        <v>-0.1</v>
      </c>
      <c r="E24" s="204">
        <v>47976.450759922154</v>
      </c>
      <c r="F24" s="184">
        <v>0.28176710434357843</v>
      </c>
      <c r="H24" s="173"/>
      <c r="I24" s="209"/>
      <c r="J24" s="188"/>
      <c r="K24" s="66"/>
      <c r="L24" s="210"/>
      <c r="M24" s="189"/>
    </row>
    <row r="25" spans="3:13">
      <c r="C25" s="179"/>
      <c r="D25" s="203">
        <v>-0.05</v>
      </c>
      <c r="E25" s="204">
        <v>108396.5609422173</v>
      </c>
      <c r="F25" s="184">
        <v>0.37973747602123553</v>
      </c>
      <c r="H25" s="173"/>
      <c r="I25" s="173"/>
      <c r="J25" s="173"/>
      <c r="K25" s="173"/>
      <c r="L25" s="173"/>
      <c r="M25" s="173"/>
    </row>
    <row r="26" spans="3:13">
      <c r="C26" s="254" t="s">
        <v>231</v>
      </c>
      <c r="D26" s="206">
        <v>0</v>
      </c>
      <c r="E26" s="207">
        <v>165544.89678499859</v>
      </c>
      <c r="F26" s="208">
        <v>0.47757197320145717</v>
      </c>
      <c r="H26" s="173"/>
      <c r="I26" s="173"/>
      <c r="J26" s="173"/>
      <c r="K26" s="173"/>
      <c r="L26" s="173"/>
      <c r="M26" s="173"/>
    </row>
    <row r="27" spans="3:13">
      <c r="C27" s="211"/>
      <c r="D27" s="203">
        <v>0.05</v>
      </c>
      <c r="E27" s="204">
        <v>221870.74246922426</v>
      </c>
      <c r="F27" s="184">
        <v>0.57866344924433555</v>
      </c>
      <c r="H27" s="173"/>
      <c r="I27" s="173"/>
      <c r="J27" s="173"/>
      <c r="K27" s="173"/>
      <c r="L27" s="173"/>
      <c r="M27" s="173"/>
    </row>
    <row r="28" spans="3:13">
      <c r="C28" s="179"/>
      <c r="D28" s="203">
        <v>0.1</v>
      </c>
      <c r="E28" s="212">
        <v>278196.58815345017</v>
      </c>
      <c r="F28" s="184">
        <v>0.6848026362779237</v>
      </c>
      <c r="H28" s="205"/>
      <c r="I28" s="205"/>
      <c r="J28" s="205"/>
      <c r="K28" s="205"/>
      <c r="L28" s="205"/>
      <c r="M28" s="205"/>
    </row>
    <row r="29" spans="3:13" ht="16.5" thickBot="1">
      <c r="C29" s="213"/>
      <c r="D29" s="214">
        <v>0.15</v>
      </c>
      <c r="E29" s="204">
        <v>334472.30679893226</v>
      </c>
      <c r="F29" s="201">
        <v>0.79530513257253765</v>
      </c>
      <c r="H29" s="205"/>
      <c r="I29" s="205"/>
      <c r="J29" s="205"/>
      <c r="K29" s="205"/>
      <c r="L29" s="205"/>
      <c r="M29" s="205"/>
    </row>
    <row r="30" spans="3:13">
      <c r="H30" s="205"/>
      <c r="I30" s="205"/>
      <c r="J30" s="205"/>
      <c r="K30" s="205"/>
      <c r="L30" s="205"/>
      <c r="M30" s="205"/>
    </row>
    <row r="31" spans="3:13">
      <c r="H31" s="205"/>
      <c r="I31" s="205"/>
      <c r="J31" s="205"/>
      <c r="K31" s="205"/>
      <c r="L31" s="205"/>
      <c r="M31" s="205"/>
    </row>
    <row r="32" spans="3:13">
      <c r="H32" s="205"/>
      <c r="I32" s="189"/>
      <c r="J32" s="188"/>
      <c r="K32" s="66"/>
      <c r="L32" s="188"/>
      <c r="M32" s="189"/>
    </row>
    <row r="33" spans="2:13">
      <c r="H33" s="189"/>
      <c r="I33" s="209"/>
      <c r="J33" s="188"/>
      <c r="K33" s="66"/>
      <c r="L33" s="188"/>
      <c r="M33" s="189"/>
    </row>
    <row r="34" spans="2:13">
      <c r="B34" s="173"/>
      <c r="C34" s="173"/>
      <c r="D34" s="173"/>
      <c r="E34" s="173"/>
      <c r="F34" s="173"/>
      <c r="H34" s="189"/>
      <c r="I34" s="209"/>
      <c r="J34" s="188"/>
      <c r="K34" s="67"/>
      <c r="L34" s="188"/>
      <c r="M34" s="189"/>
    </row>
    <row r="35" spans="2:13">
      <c r="B35" s="173"/>
      <c r="C35" s="173"/>
      <c r="D35" s="173"/>
      <c r="E35" s="173"/>
      <c r="F35" s="173"/>
      <c r="H35" s="173"/>
      <c r="I35" s="173"/>
      <c r="J35" s="173"/>
      <c r="K35" s="173"/>
      <c r="L35" s="173"/>
      <c r="M35" s="173"/>
    </row>
    <row r="41" spans="2:13" ht="16.5" thickBot="1"/>
    <row r="42" spans="2:13">
      <c r="C42" s="250" t="s">
        <v>223</v>
      </c>
      <c r="D42" s="251" t="s">
        <v>224</v>
      </c>
      <c r="E42" s="251" t="s">
        <v>226</v>
      </c>
      <c r="F42" s="251" t="s">
        <v>213</v>
      </c>
    </row>
    <row r="43" spans="2:13">
      <c r="C43" s="216"/>
      <c r="D43" s="203">
        <v>-0.15</v>
      </c>
      <c r="E43" s="183">
        <v>338996.28809273534</v>
      </c>
      <c r="F43" s="217">
        <v>0.85043047133250749</v>
      </c>
    </row>
    <row r="44" spans="2:13">
      <c r="C44" s="216"/>
      <c r="D44" s="203">
        <v>-0.1</v>
      </c>
      <c r="E44" s="183">
        <v>281773.3592536932</v>
      </c>
      <c r="F44" s="217">
        <v>0.71896065581566904</v>
      </c>
    </row>
    <row r="45" spans="2:13">
      <c r="C45" s="216"/>
      <c r="D45" s="203">
        <v>-0.05</v>
      </c>
      <c r="E45" s="183">
        <v>223659.12801934595</v>
      </c>
      <c r="F45" s="217">
        <v>0.59253421248959404</v>
      </c>
    </row>
    <row r="46" spans="2:13">
      <c r="C46" s="255" t="s">
        <v>232</v>
      </c>
      <c r="D46" s="206">
        <v>0</v>
      </c>
      <c r="E46" s="207">
        <f>E26</f>
        <v>165544.89678499859</v>
      </c>
      <c r="F46" s="218">
        <f>F26</f>
        <v>0.47757197320145717</v>
      </c>
    </row>
    <row r="47" spans="2:13">
      <c r="C47" s="219"/>
      <c r="D47" s="203">
        <v>0.05</v>
      </c>
      <c r="E47" s="183">
        <v>106114.6257216558</v>
      </c>
      <c r="F47" s="217">
        <v>0.37098402008534132</v>
      </c>
    </row>
    <row r="48" spans="2:13">
      <c r="C48" s="220"/>
      <c r="D48" s="203">
        <v>0.1</v>
      </c>
      <c r="E48" s="183">
        <v>42201.649686046672</v>
      </c>
      <c r="F48" s="217">
        <v>0.26902858560405685</v>
      </c>
    </row>
    <row r="49" spans="3:6" ht="16.5" thickBot="1">
      <c r="C49" s="221"/>
      <c r="D49" s="214">
        <v>0.15</v>
      </c>
      <c r="E49" s="222">
        <v>-25175.26842960967</v>
      </c>
      <c r="F49" s="223">
        <v>0.17765682402294403</v>
      </c>
    </row>
  </sheetData>
  <mergeCells count="3">
    <mergeCell ref="C3:F3"/>
    <mergeCell ref="G6:M6"/>
    <mergeCell ref="G16:M16"/>
  </mergeCells>
  <pageMargins left="0.75" right="0.75" top="1" bottom="1" header="0" footer="0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F8"/>
  <sheetViews>
    <sheetView topLeftCell="A2" workbookViewId="0">
      <selection activeCell="F8" sqref="F8"/>
    </sheetView>
  </sheetViews>
  <sheetFormatPr baseColWidth="10" defaultRowHeight="15"/>
  <cols>
    <col min="1" max="1" width="30.42578125" customWidth="1"/>
    <col min="2" max="2" width="5.85546875" customWidth="1"/>
    <col min="3" max="3" width="13.7109375" customWidth="1"/>
    <col min="4" max="4" width="14.28515625" customWidth="1"/>
    <col min="5" max="5" width="13.28515625" customWidth="1"/>
    <col min="6" max="6" width="14" customWidth="1"/>
  </cols>
  <sheetData>
    <row r="1" spans="1:6">
      <c r="A1" s="365" t="s">
        <v>54</v>
      </c>
      <c r="B1" s="365"/>
      <c r="C1" s="365"/>
      <c r="D1" s="365"/>
      <c r="E1" s="365"/>
      <c r="F1" s="365"/>
    </row>
    <row r="2" spans="1:6">
      <c r="A2" s="10"/>
      <c r="B2" s="9"/>
      <c r="C2" s="364" t="s">
        <v>258</v>
      </c>
      <c r="D2" s="364"/>
      <c r="E2" s="364" t="s">
        <v>259</v>
      </c>
      <c r="F2" s="364"/>
    </row>
    <row r="3" spans="1:6">
      <c r="A3" s="232" t="s">
        <v>55</v>
      </c>
      <c r="B3" s="232" t="s">
        <v>56</v>
      </c>
      <c r="C3" s="232" t="s">
        <v>57</v>
      </c>
      <c r="D3" s="232" t="s">
        <v>58</v>
      </c>
      <c r="E3" s="232" t="s">
        <v>57</v>
      </c>
      <c r="F3" s="232" t="s">
        <v>58</v>
      </c>
    </row>
    <row r="4" spans="1:6">
      <c r="A4" s="2" t="s">
        <v>59</v>
      </c>
      <c r="B4" s="8">
        <v>0.45</v>
      </c>
      <c r="C4" s="2">
        <v>9</v>
      </c>
      <c r="D4" s="2">
        <f>C4*B4</f>
        <v>4.05</v>
      </c>
      <c r="E4" s="2">
        <v>7</v>
      </c>
      <c r="F4" s="2">
        <f>E4*B4</f>
        <v>3.15</v>
      </c>
    </row>
    <row r="5" spans="1:6">
      <c r="A5" s="2" t="s">
        <v>60</v>
      </c>
      <c r="B5" s="8">
        <v>0.15</v>
      </c>
      <c r="C5" s="2">
        <v>9</v>
      </c>
      <c r="D5" s="2">
        <f t="shared" ref="D5:D7" si="0">C5*B5</f>
        <v>1.3499999999999999</v>
      </c>
      <c r="E5" s="2">
        <v>6</v>
      </c>
      <c r="F5" s="2">
        <f t="shared" ref="F5:F7" si="1">E5*B5</f>
        <v>0.89999999999999991</v>
      </c>
    </row>
    <row r="6" spans="1:6">
      <c r="A6" s="2" t="s">
        <v>61</v>
      </c>
      <c r="B6" s="8">
        <v>0.2</v>
      </c>
      <c r="C6" s="2">
        <v>7</v>
      </c>
      <c r="D6" s="2">
        <f t="shared" si="0"/>
        <v>1.4000000000000001</v>
      </c>
      <c r="E6" s="2">
        <v>7</v>
      </c>
      <c r="F6" s="2">
        <f t="shared" si="1"/>
        <v>1.4000000000000001</v>
      </c>
    </row>
    <row r="7" spans="1:6">
      <c r="A7" s="2" t="s">
        <v>62</v>
      </c>
      <c r="B7" s="8">
        <v>0.2</v>
      </c>
      <c r="C7" s="2">
        <v>8</v>
      </c>
      <c r="D7" s="2">
        <f t="shared" si="0"/>
        <v>1.6</v>
      </c>
      <c r="E7" s="2">
        <v>8</v>
      </c>
      <c r="F7" s="2">
        <f t="shared" si="1"/>
        <v>1.6</v>
      </c>
    </row>
    <row r="8" spans="1:6">
      <c r="B8" s="8">
        <f>SUM(B4:B7)</f>
        <v>1</v>
      </c>
      <c r="D8" s="233">
        <f>SUM(D4:D7)</f>
        <v>8.4</v>
      </c>
      <c r="F8" s="2">
        <f>SUM(F4:F7)</f>
        <v>7.0500000000000007</v>
      </c>
    </row>
  </sheetData>
  <mergeCells count="3">
    <mergeCell ref="C2:D2"/>
    <mergeCell ref="E2:F2"/>
    <mergeCell ref="A1:F1"/>
  </mergeCells>
  <pageMargins left="0.7" right="0.7" top="0.75" bottom="0.75" header="0.3" footer="0.3"/>
  <pageSetup paperSize="9" orientation="portrait" horizontalDpi="30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0000"/>
  </sheetPr>
  <dimension ref="A1:M16"/>
  <sheetViews>
    <sheetView zoomScale="89" zoomScaleNormal="89" workbookViewId="0">
      <selection activeCell="N9" sqref="N9"/>
    </sheetView>
  </sheetViews>
  <sheetFormatPr baseColWidth="10" defaultRowHeight="15"/>
  <cols>
    <col min="1" max="1" width="34" customWidth="1"/>
    <col min="4" max="4" width="33.140625" customWidth="1"/>
    <col min="6" max="9" width="12.7109375" customWidth="1"/>
    <col min="10" max="10" width="16.140625" customWidth="1"/>
    <col min="11" max="11" width="16" customWidth="1"/>
    <col min="12" max="12" width="15.7109375" customWidth="1"/>
    <col min="13" max="13" width="11.5703125" customWidth="1"/>
  </cols>
  <sheetData>
    <row r="1" spans="1:13">
      <c r="A1" s="367" t="s">
        <v>12</v>
      </c>
      <c r="B1" s="368"/>
      <c r="D1" s="379" t="s">
        <v>12</v>
      </c>
      <c r="E1" s="380"/>
      <c r="F1" s="380"/>
      <c r="G1" s="380"/>
      <c r="H1" s="380"/>
      <c r="I1" s="380"/>
      <c r="J1" s="380"/>
      <c r="K1" s="380"/>
      <c r="L1" s="380"/>
      <c r="M1" s="2"/>
    </row>
    <row r="2" spans="1:13" ht="15" customHeight="1">
      <c r="A2" s="369" t="s">
        <v>13</v>
      </c>
      <c r="B2" s="371" t="s">
        <v>14</v>
      </c>
      <c r="D2" s="373" t="s">
        <v>13</v>
      </c>
      <c r="E2" s="375" t="s">
        <v>14</v>
      </c>
      <c r="F2" s="377" t="s">
        <v>21</v>
      </c>
      <c r="G2" s="377"/>
      <c r="H2" s="378" t="s">
        <v>23</v>
      </c>
      <c r="I2" s="378"/>
      <c r="J2" s="375" t="s">
        <v>24</v>
      </c>
      <c r="K2" s="375" t="s">
        <v>25</v>
      </c>
      <c r="L2" s="381" t="s">
        <v>22</v>
      </c>
      <c r="M2" s="366" t="s">
        <v>111</v>
      </c>
    </row>
    <row r="3" spans="1:13" ht="13.5" customHeight="1">
      <c r="A3" s="370"/>
      <c r="B3" s="372"/>
      <c r="D3" s="374"/>
      <c r="E3" s="376"/>
      <c r="F3" s="5" t="s">
        <v>20</v>
      </c>
      <c r="G3" s="2" t="s">
        <v>22</v>
      </c>
      <c r="H3" s="2" t="s">
        <v>20</v>
      </c>
      <c r="I3" s="2" t="s">
        <v>22</v>
      </c>
      <c r="J3" s="376"/>
      <c r="K3" s="376"/>
      <c r="L3" s="382"/>
      <c r="M3" s="366"/>
    </row>
    <row r="4" spans="1:13" s="32" customFormat="1" ht="13.5" customHeight="1">
      <c r="A4" s="2" t="s">
        <v>265</v>
      </c>
      <c r="B4" s="2">
        <v>1</v>
      </c>
      <c r="D4" s="142" t="s">
        <v>265</v>
      </c>
      <c r="E4" s="144">
        <v>1</v>
      </c>
      <c r="F4" s="5">
        <v>1100</v>
      </c>
      <c r="G4" s="2">
        <f>F4*E4</f>
        <v>1100</v>
      </c>
      <c r="H4" s="2">
        <f>F4*12</f>
        <v>13200</v>
      </c>
      <c r="I4" s="2">
        <f>H4*E4</f>
        <v>13200</v>
      </c>
      <c r="J4" s="2">
        <f>F4</f>
        <v>1100</v>
      </c>
      <c r="K4" s="2">
        <f>240</f>
        <v>240</v>
      </c>
      <c r="L4" s="28">
        <f>I4+J4+K4</f>
        <v>14540</v>
      </c>
      <c r="M4" s="29">
        <f>L4/12</f>
        <v>1211.6666666666667</v>
      </c>
    </row>
    <row r="5" spans="1:13">
      <c r="A5" s="2" t="s">
        <v>263</v>
      </c>
      <c r="B5" s="2">
        <v>1</v>
      </c>
      <c r="D5" s="2" t="s">
        <v>263</v>
      </c>
      <c r="E5" s="2">
        <v>1</v>
      </c>
      <c r="F5" s="2">
        <v>800</v>
      </c>
      <c r="G5" s="2">
        <f>F5*E5</f>
        <v>800</v>
      </c>
      <c r="H5" s="2">
        <f>F5*12</f>
        <v>9600</v>
      </c>
      <c r="I5" s="2">
        <f>H5*E5</f>
        <v>9600</v>
      </c>
      <c r="J5" s="2">
        <f>F5</f>
        <v>800</v>
      </c>
      <c r="K5" s="2">
        <f>240</f>
        <v>240</v>
      </c>
      <c r="L5" s="28">
        <f>I5+J5+K5</f>
        <v>10640</v>
      </c>
      <c r="M5" s="29">
        <f>L5/12</f>
        <v>886.66666666666663</v>
      </c>
    </row>
    <row r="6" spans="1:13">
      <c r="A6" s="2" t="s">
        <v>260</v>
      </c>
      <c r="B6" s="2">
        <v>1</v>
      </c>
      <c r="D6" s="2" t="s">
        <v>260</v>
      </c>
      <c r="E6" s="2">
        <v>1</v>
      </c>
      <c r="F6" s="2">
        <v>800</v>
      </c>
      <c r="G6" s="2">
        <f t="shared" ref="G6:G15" si="0">F6*E6</f>
        <v>800</v>
      </c>
      <c r="H6" s="2">
        <f t="shared" ref="H6:H15" si="1">F6*12</f>
        <v>9600</v>
      </c>
      <c r="I6" s="2">
        <f t="shared" ref="I6:I15" si="2">H6*E6</f>
        <v>9600</v>
      </c>
      <c r="J6" s="2">
        <f t="shared" ref="J6:J15" si="3">F6</f>
        <v>800</v>
      </c>
      <c r="K6" s="2">
        <f>240</f>
        <v>240</v>
      </c>
      <c r="L6" s="28">
        <f t="shared" ref="L6:L13" si="4">I6+J6+K6</f>
        <v>10640</v>
      </c>
      <c r="M6" s="29">
        <f t="shared" ref="M6:M15" si="5">L6/12</f>
        <v>886.66666666666663</v>
      </c>
    </row>
    <row r="7" spans="1:13">
      <c r="A7" s="2" t="s">
        <v>261</v>
      </c>
      <c r="B7" s="2">
        <v>1</v>
      </c>
      <c r="D7" s="2" t="s">
        <v>261</v>
      </c>
      <c r="E7" s="2">
        <v>1</v>
      </c>
      <c r="F7" s="2">
        <v>800</v>
      </c>
      <c r="G7" s="2">
        <f t="shared" si="0"/>
        <v>800</v>
      </c>
      <c r="H7" s="2">
        <f t="shared" si="1"/>
        <v>9600</v>
      </c>
      <c r="I7" s="2">
        <f t="shared" si="2"/>
        <v>9600</v>
      </c>
      <c r="J7" s="2">
        <f t="shared" si="3"/>
        <v>800</v>
      </c>
      <c r="K7" s="2">
        <f>240</f>
        <v>240</v>
      </c>
      <c r="L7" s="28">
        <f t="shared" si="4"/>
        <v>10640</v>
      </c>
      <c r="M7" s="29">
        <f t="shared" si="5"/>
        <v>886.66666666666663</v>
      </c>
    </row>
    <row r="8" spans="1:13">
      <c r="A8" s="2" t="s">
        <v>262</v>
      </c>
      <c r="B8" s="2">
        <v>1</v>
      </c>
      <c r="D8" s="2" t="s">
        <v>262</v>
      </c>
      <c r="E8" s="2">
        <v>1</v>
      </c>
      <c r="F8" s="2">
        <v>800</v>
      </c>
      <c r="G8" s="2">
        <f t="shared" si="0"/>
        <v>800</v>
      </c>
      <c r="H8" s="2">
        <f t="shared" si="1"/>
        <v>9600</v>
      </c>
      <c r="I8" s="2">
        <f t="shared" si="2"/>
        <v>9600</v>
      </c>
      <c r="J8" s="2">
        <f t="shared" si="3"/>
        <v>800</v>
      </c>
      <c r="K8" s="2">
        <f>240</f>
        <v>240</v>
      </c>
      <c r="L8" s="28">
        <f t="shared" si="4"/>
        <v>10640</v>
      </c>
      <c r="M8" s="29">
        <f t="shared" si="5"/>
        <v>886.66666666666663</v>
      </c>
    </row>
    <row r="9" spans="1:13">
      <c r="A9" s="2" t="s">
        <v>16</v>
      </c>
      <c r="B9" s="2">
        <v>1</v>
      </c>
      <c r="D9" s="2" t="s">
        <v>16</v>
      </c>
      <c r="E9" s="2">
        <v>1</v>
      </c>
      <c r="F9" s="2">
        <v>600</v>
      </c>
      <c r="G9" s="2">
        <f t="shared" si="0"/>
        <v>600</v>
      </c>
      <c r="H9" s="2">
        <f t="shared" si="1"/>
        <v>7200</v>
      </c>
      <c r="I9" s="2">
        <f t="shared" si="2"/>
        <v>7200</v>
      </c>
      <c r="J9" s="2">
        <f t="shared" si="3"/>
        <v>600</v>
      </c>
      <c r="K9" s="2">
        <f>240</f>
        <v>240</v>
      </c>
      <c r="L9" s="28">
        <f t="shared" si="4"/>
        <v>8040</v>
      </c>
      <c r="M9" s="29">
        <f t="shared" si="5"/>
        <v>670</v>
      </c>
    </row>
    <row r="10" spans="1:13">
      <c r="A10" s="2" t="s">
        <v>264</v>
      </c>
      <c r="B10" s="2">
        <v>1</v>
      </c>
      <c r="D10" s="2" t="s">
        <v>264</v>
      </c>
      <c r="E10" s="2">
        <v>1</v>
      </c>
      <c r="F10" s="2">
        <v>400</v>
      </c>
      <c r="G10" s="2">
        <f t="shared" si="0"/>
        <v>400</v>
      </c>
      <c r="H10" s="2">
        <f t="shared" si="1"/>
        <v>4800</v>
      </c>
      <c r="I10" s="2">
        <f t="shared" si="2"/>
        <v>4800</v>
      </c>
      <c r="J10" s="2">
        <f t="shared" si="3"/>
        <v>400</v>
      </c>
      <c r="K10" s="2">
        <f>240</f>
        <v>240</v>
      </c>
      <c r="L10" s="28">
        <f t="shared" si="4"/>
        <v>5440</v>
      </c>
      <c r="M10" s="29">
        <f t="shared" si="5"/>
        <v>453.33333333333331</v>
      </c>
    </row>
    <row r="11" spans="1:13">
      <c r="A11" s="2" t="s">
        <v>15</v>
      </c>
      <c r="B11" s="2">
        <v>1</v>
      </c>
      <c r="D11" s="2" t="s">
        <v>15</v>
      </c>
      <c r="E11" s="2">
        <v>1</v>
      </c>
      <c r="F11" s="2">
        <v>400</v>
      </c>
      <c r="G11" s="2">
        <f t="shared" si="0"/>
        <v>400</v>
      </c>
      <c r="H11" s="2">
        <f t="shared" si="1"/>
        <v>4800</v>
      </c>
      <c r="I11" s="2">
        <f t="shared" si="2"/>
        <v>4800</v>
      </c>
      <c r="J11" s="2">
        <f t="shared" si="3"/>
        <v>400</v>
      </c>
      <c r="K11" s="2">
        <f>240</f>
        <v>240</v>
      </c>
      <c r="L11" s="28">
        <f t="shared" si="4"/>
        <v>5440</v>
      </c>
      <c r="M11" s="29">
        <f t="shared" si="5"/>
        <v>453.33333333333331</v>
      </c>
    </row>
    <row r="12" spans="1:13">
      <c r="A12" s="2" t="s">
        <v>51</v>
      </c>
      <c r="B12" s="2">
        <v>8</v>
      </c>
      <c r="D12" s="2" t="s">
        <v>51</v>
      </c>
      <c r="E12" s="2">
        <v>8</v>
      </c>
      <c r="F12" s="2">
        <v>300</v>
      </c>
      <c r="G12" s="2">
        <f t="shared" si="0"/>
        <v>2400</v>
      </c>
      <c r="H12" s="2">
        <f t="shared" si="1"/>
        <v>3600</v>
      </c>
      <c r="I12" s="2">
        <f t="shared" si="2"/>
        <v>28800</v>
      </c>
      <c r="J12" s="2">
        <f t="shared" si="3"/>
        <v>300</v>
      </c>
      <c r="K12" s="2">
        <f>240</f>
        <v>240</v>
      </c>
      <c r="L12" s="28">
        <f t="shared" si="4"/>
        <v>29340</v>
      </c>
      <c r="M12" s="29">
        <f t="shared" si="5"/>
        <v>2445</v>
      </c>
    </row>
    <row r="13" spans="1:13">
      <c r="A13" s="2" t="s">
        <v>17</v>
      </c>
      <c r="B13" s="2">
        <v>1</v>
      </c>
      <c r="D13" s="2" t="s">
        <v>17</v>
      </c>
      <c r="E13" s="2">
        <v>1</v>
      </c>
      <c r="F13" s="2">
        <v>300</v>
      </c>
      <c r="G13" s="2">
        <f t="shared" si="0"/>
        <v>300</v>
      </c>
      <c r="H13" s="2">
        <f t="shared" si="1"/>
        <v>3600</v>
      </c>
      <c r="I13" s="2">
        <f t="shared" si="2"/>
        <v>3600</v>
      </c>
      <c r="J13" s="2">
        <f t="shared" si="3"/>
        <v>300</v>
      </c>
      <c r="K13" s="2">
        <f>240</f>
        <v>240</v>
      </c>
      <c r="L13" s="28">
        <f t="shared" si="4"/>
        <v>4140</v>
      </c>
      <c r="M13" s="29">
        <f t="shared" si="5"/>
        <v>345</v>
      </c>
    </row>
    <row r="14" spans="1:13">
      <c r="A14" s="2" t="s">
        <v>18</v>
      </c>
      <c r="B14" s="2">
        <v>3</v>
      </c>
      <c r="D14" s="2" t="s">
        <v>18</v>
      </c>
      <c r="E14" s="2">
        <v>3</v>
      </c>
      <c r="F14" s="2">
        <v>300</v>
      </c>
      <c r="G14" s="2">
        <f t="shared" si="0"/>
        <v>900</v>
      </c>
      <c r="H14" s="2">
        <f t="shared" si="1"/>
        <v>3600</v>
      </c>
      <c r="I14" s="2">
        <f t="shared" si="2"/>
        <v>10800</v>
      </c>
      <c r="J14" s="2">
        <f t="shared" si="3"/>
        <v>300</v>
      </c>
      <c r="K14" s="2">
        <f>240</f>
        <v>240</v>
      </c>
      <c r="L14" s="28">
        <f>I14+J14+K14</f>
        <v>11340</v>
      </c>
      <c r="M14" s="29">
        <f t="shared" si="5"/>
        <v>945</v>
      </c>
    </row>
    <row r="15" spans="1:13" s="32" customFormat="1">
      <c r="A15" s="2" t="s">
        <v>205</v>
      </c>
      <c r="B15" s="2">
        <v>4</v>
      </c>
      <c r="D15" s="2" t="s">
        <v>205</v>
      </c>
      <c r="E15" s="2">
        <v>4</v>
      </c>
      <c r="F15" s="2">
        <v>350</v>
      </c>
      <c r="G15" s="2">
        <f t="shared" si="0"/>
        <v>1400</v>
      </c>
      <c r="H15" s="2">
        <f t="shared" si="1"/>
        <v>4200</v>
      </c>
      <c r="I15" s="2">
        <f t="shared" si="2"/>
        <v>16800</v>
      </c>
      <c r="J15" s="2">
        <f t="shared" si="3"/>
        <v>350</v>
      </c>
      <c r="K15" s="2">
        <f>240</f>
        <v>240</v>
      </c>
      <c r="L15" s="28">
        <f>SUM(I15:K15)</f>
        <v>17390</v>
      </c>
      <c r="M15" s="29">
        <f t="shared" si="5"/>
        <v>1449.1666666666667</v>
      </c>
    </row>
    <row r="16" spans="1:13">
      <c r="A16" s="348" t="s">
        <v>19</v>
      </c>
      <c r="B16" s="348">
        <f>SUM(B4:B15)</f>
        <v>24</v>
      </c>
      <c r="D16" s="348" t="s">
        <v>19</v>
      </c>
      <c r="E16" s="348">
        <f>SUM(E4:E15)</f>
        <v>24</v>
      </c>
      <c r="G16" s="348">
        <f>SUM(G5:G15)</f>
        <v>9600</v>
      </c>
      <c r="I16" s="348">
        <f>SUM(I5:I15)</f>
        <v>115200</v>
      </c>
      <c r="L16" s="349">
        <f>SUM(L5:L15)</f>
        <v>123690</v>
      </c>
      <c r="M16" s="350">
        <f>SUM(M5:M15)</f>
        <v>10307.499999999998</v>
      </c>
    </row>
  </sheetData>
  <mergeCells count="12">
    <mergeCell ref="M2:M3"/>
    <mergeCell ref="A1:B1"/>
    <mergeCell ref="A2:A3"/>
    <mergeCell ref="B2:B3"/>
    <mergeCell ref="D2:D3"/>
    <mergeCell ref="E2:E3"/>
    <mergeCell ref="F2:G2"/>
    <mergeCell ref="H2:I2"/>
    <mergeCell ref="D1:L1"/>
    <mergeCell ref="J2:J3"/>
    <mergeCell ref="K2:K3"/>
    <mergeCell ref="L2:L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2:E6"/>
  <sheetViews>
    <sheetView workbookViewId="0">
      <selection activeCell="A3" sqref="A3:E5"/>
    </sheetView>
  </sheetViews>
  <sheetFormatPr baseColWidth="10" defaultRowHeight="15"/>
  <sheetData>
    <row r="2" spans="1:5">
      <c r="A2" s="384" t="s">
        <v>251</v>
      </c>
      <c r="B2" s="384"/>
      <c r="C2" s="384"/>
      <c r="D2" s="384"/>
      <c r="E2" s="384"/>
    </row>
    <row r="3" spans="1:5" ht="30.75" customHeight="1">
      <c r="A3" s="383" t="s">
        <v>250</v>
      </c>
      <c r="B3" s="383"/>
      <c r="C3" s="383"/>
      <c r="D3" s="383"/>
      <c r="E3" s="126">
        <v>2800</v>
      </c>
    </row>
    <row r="4" spans="1:5">
      <c r="A4" s="388" t="s">
        <v>248</v>
      </c>
      <c r="B4" s="389"/>
      <c r="C4" s="389"/>
      <c r="D4" s="390"/>
      <c r="E4" s="126">
        <v>1800</v>
      </c>
    </row>
    <row r="5" spans="1:5">
      <c r="A5" s="388" t="s">
        <v>249</v>
      </c>
      <c r="B5" s="389"/>
      <c r="C5" s="389"/>
      <c r="D5" s="390"/>
      <c r="E5" s="126">
        <v>1250</v>
      </c>
    </row>
    <row r="6" spans="1:5">
      <c r="A6" s="385" t="s">
        <v>22</v>
      </c>
      <c r="B6" s="386"/>
      <c r="C6" s="386"/>
      <c r="D6" s="387"/>
      <c r="E6" s="357">
        <f>SUM(E3:E5)</f>
        <v>5850</v>
      </c>
    </row>
  </sheetData>
  <mergeCells count="5">
    <mergeCell ref="A3:D3"/>
    <mergeCell ref="A2:E2"/>
    <mergeCell ref="A6:D6"/>
    <mergeCell ref="A4:D4"/>
    <mergeCell ref="A5:D5"/>
  </mergeCells>
  <pageMargins left="0.7" right="0.7" top="0.75" bottom="0.75" header="0.3" footer="0.3"/>
  <pageSetup paperSize="9" orientation="portrait" horizontalDpi="30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C7"/>
  <sheetViews>
    <sheetView workbookViewId="0">
      <selection activeCell="B5" sqref="B5"/>
    </sheetView>
  </sheetViews>
  <sheetFormatPr baseColWidth="10" defaultRowHeight="15"/>
  <cols>
    <col min="1" max="1" width="56.140625" customWidth="1"/>
    <col min="2" max="2" width="14.140625" customWidth="1"/>
  </cols>
  <sheetData>
    <row r="1" spans="1:3" s="32" customFormat="1"/>
    <row r="2" spans="1:3">
      <c r="A2" s="391" t="s">
        <v>252</v>
      </c>
      <c r="B2" s="392"/>
    </row>
    <row r="3" spans="1:3" s="32" customFormat="1">
      <c r="A3" s="236" t="s">
        <v>268</v>
      </c>
      <c r="B3" s="237">
        <f>'GASTO DE CONSTITUCION'!E6</f>
        <v>5850</v>
      </c>
    </row>
    <row r="4" spans="1:3" s="32" customFormat="1">
      <c r="A4" s="236" t="s">
        <v>159</v>
      </c>
      <c r="B4" s="237">
        <f>-'capital de trabajo'!B48</f>
        <v>42090.954094395791</v>
      </c>
    </row>
    <row r="5" spans="1:3">
      <c r="A5" s="238" t="s">
        <v>267</v>
      </c>
      <c r="B5" s="237">
        <f>'obras fisicas'!E24+'BALANCE Y VALOR DE DESECHO'!G22</f>
        <v>166239</v>
      </c>
      <c r="C5" s="45"/>
    </row>
    <row r="6" spans="1:3">
      <c r="A6" s="234" t="s">
        <v>63</v>
      </c>
      <c r="B6" s="235">
        <f>SUM(B2:B5)</f>
        <v>214179.9540943958</v>
      </c>
    </row>
    <row r="7" spans="1:3">
      <c r="C7" s="129"/>
    </row>
  </sheetData>
  <mergeCells count="1">
    <mergeCell ref="A2:B2"/>
  </mergeCells>
  <pageMargins left="0.7" right="0.7" top="0.75" bottom="0.75" header="0.3" footer="0.3"/>
  <pageSetup paperSize="9" orientation="portrait" horizontalDpi="30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2:F3"/>
  <sheetViews>
    <sheetView workbookViewId="0">
      <selection activeCell="A3" sqref="A3"/>
    </sheetView>
  </sheetViews>
  <sheetFormatPr baseColWidth="10" defaultRowHeight="15"/>
  <cols>
    <col min="1" max="1" width="12.5703125" customWidth="1"/>
    <col min="2" max="2" width="11.42578125" customWidth="1"/>
    <col min="3" max="3" width="13" customWidth="1"/>
    <col min="5" max="5" width="14.28515625" customWidth="1"/>
    <col min="6" max="6" width="14.5703125" customWidth="1"/>
  </cols>
  <sheetData>
    <row r="2" spans="1:6" ht="45">
      <c r="A2" s="14" t="s">
        <v>85</v>
      </c>
      <c r="B2" s="21" t="s">
        <v>86</v>
      </c>
      <c r="C2" s="21" t="s">
        <v>87</v>
      </c>
      <c r="D2" s="14" t="s">
        <v>84</v>
      </c>
      <c r="E2" s="21" t="s">
        <v>88</v>
      </c>
      <c r="F2" s="21" t="s">
        <v>89</v>
      </c>
    </row>
    <row r="3" spans="1:6">
      <c r="A3" s="7" t="s">
        <v>274</v>
      </c>
      <c r="B3" s="20">
        <v>1</v>
      </c>
      <c r="C3" s="62">
        <f>'cf y cv'!C15</f>
        <v>301890</v>
      </c>
      <c r="D3" s="22">
        <f>'cf y cv'!C47</f>
        <v>0.3</v>
      </c>
      <c r="E3" s="22">
        <f>'cf y cv'!D44</f>
        <v>7.4291825269174092E-2</v>
      </c>
      <c r="F3" s="23">
        <f>C3/(D3-E3)</f>
        <v>1337523.5538545591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K31"/>
  <sheetViews>
    <sheetView topLeftCell="A5" workbookViewId="0">
      <selection activeCell="K22" sqref="K22"/>
    </sheetView>
  </sheetViews>
  <sheetFormatPr baseColWidth="10" defaultRowHeight="15"/>
  <cols>
    <col min="1" max="1" width="13.85546875" customWidth="1"/>
    <col min="2" max="10" width="11.5703125" customWidth="1"/>
    <col min="11" max="11" width="13.28515625" customWidth="1"/>
  </cols>
  <sheetData>
    <row r="1" spans="1:11">
      <c r="A1" s="393" t="s">
        <v>206</v>
      </c>
      <c r="B1" s="393"/>
      <c r="C1" s="393"/>
      <c r="D1" s="393"/>
      <c r="E1" s="393"/>
      <c r="F1" s="393"/>
      <c r="G1" s="393"/>
      <c r="H1" s="393"/>
      <c r="I1" s="393"/>
      <c r="J1" s="393"/>
      <c r="K1" s="393"/>
    </row>
    <row r="2" spans="1:11">
      <c r="A2" s="7" t="s">
        <v>49</v>
      </c>
      <c r="B2" s="7">
        <v>1</v>
      </c>
      <c r="C2" s="7">
        <v>2</v>
      </c>
      <c r="D2" s="7">
        <v>3</v>
      </c>
      <c r="E2" s="7">
        <v>4</v>
      </c>
      <c r="F2" s="7">
        <v>5</v>
      </c>
      <c r="G2" s="7">
        <v>6</v>
      </c>
      <c r="H2" s="7">
        <v>7</v>
      </c>
      <c r="I2" s="7">
        <v>8</v>
      </c>
      <c r="J2" s="7">
        <v>9</v>
      </c>
      <c r="K2" s="7">
        <v>10</v>
      </c>
    </row>
    <row r="3" spans="1:11">
      <c r="A3" s="7" t="s">
        <v>48</v>
      </c>
      <c r="B3" s="2"/>
      <c r="C3" s="2"/>
      <c r="D3" s="2"/>
      <c r="E3" s="2"/>
      <c r="F3" s="2"/>
      <c r="G3" s="2"/>
      <c r="H3" s="2"/>
      <c r="I3" s="2"/>
      <c r="J3" s="2"/>
      <c r="K3" s="141"/>
    </row>
    <row r="4" spans="1:11">
      <c r="A4" s="7" t="s">
        <v>32</v>
      </c>
      <c r="B4" s="2"/>
      <c r="C4" s="2"/>
      <c r="D4" s="130" t="s">
        <v>50</v>
      </c>
      <c r="E4" s="2"/>
      <c r="F4" s="2"/>
      <c r="G4" s="130" t="str">
        <f>D4</f>
        <v>R</v>
      </c>
      <c r="H4" s="2"/>
      <c r="I4" s="2"/>
      <c r="J4" s="130" t="str">
        <f>G4</f>
        <v>R</v>
      </c>
      <c r="K4" s="5"/>
    </row>
    <row r="5" spans="1:11">
      <c r="A5" s="7" t="s">
        <v>36</v>
      </c>
      <c r="B5" s="2"/>
      <c r="C5" s="2"/>
      <c r="D5" s="2"/>
      <c r="E5" s="2"/>
      <c r="F5" s="131"/>
      <c r="G5" s="2"/>
      <c r="H5" s="2"/>
      <c r="I5" s="2"/>
      <c r="J5" s="2"/>
      <c r="K5" s="131"/>
    </row>
    <row r="6" spans="1:11">
      <c r="A6" s="7" t="s">
        <v>91</v>
      </c>
      <c r="B6" s="2"/>
      <c r="C6" s="2"/>
      <c r="D6" s="2"/>
      <c r="E6" s="2"/>
      <c r="F6" s="130" t="s">
        <v>50</v>
      </c>
      <c r="G6" s="2"/>
      <c r="H6" s="2"/>
      <c r="I6" s="2"/>
      <c r="J6" s="2"/>
      <c r="K6" s="131"/>
    </row>
    <row r="8" spans="1:11">
      <c r="A8" s="394" t="s">
        <v>52</v>
      </c>
      <c r="B8" s="395"/>
      <c r="C8" s="395"/>
      <c r="D8" s="395"/>
      <c r="E8" s="395"/>
      <c r="F8" s="395"/>
      <c r="G8" s="395"/>
      <c r="H8" s="395"/>
      <c r="I8" s="395"/>
      <c r="J8" s="395"/>
      <c r="K8" s="396"/>
    </row>
    <row r="9" spans="1:11">
      <c r="A9" s="7" t="s">
        <v>49</v>
      </c>
      <c r="B9" s="7">
        <v>1</v>
      </c>
      <c r="C9" s="7">
        <v>2</v>
      </c>
      <c r="D9" s="7">
        <v>3</v>
      </c>
      <c r="E9" s="7">
        <v>4</v>
      </c>
      <c r="F9" s="7">
        <v>5</v>
      </c>
      <c r="G9" s="7">
        <v>6</v>
      </c>
      <c r="H9" s="7">
        <v>7</v>
      </c>
      <c r="I9" s="7">
        <v>8</v>
      </c>
      <c r="J9" s="7">
        <v>9</v>
      </c>
      <c r="K9" s="7">
        <v>10</v>
      </c>
    </row>
    <row r="10" spans="1:11">
      <c r="A10" s="7" t="s">
        <v>48</v>
      </c>
      <c r="B10" s="2"/>
      <c r="C10" s="2"/>
      <c r="D10" s="2"/>
      <c r="E10" s="2"/>
      <c r="F10" s="2"/>
      <c r="G10" s="2"/>
      <c r="H10" s="2"/>
      <c r="I10" s="2"/>
      <c r="J10" s="2"/>
      <c r="K10" s="141"/>
    </row>
    <row r="11" spans="1:11">
      <c r="A11" s="7" t="s">
        <v>32</v>
      </c>
      <c r="B11" s="2"/>
      <c r="C11" s="2"/>
      <c r="D11" s="130" t="s">
        <v>53</v>
      </c>
      <c r="E11" s="2"/>
      <c r="F11" s="2"/>
      <c r="G11" s="130" t="str">
        <f>D11</f>
        <v>I.V</v>
      </c>
      <c r="H11" s="2"/>
      <c r="I11" s="2"/>
      <c r="J11" s="130" t="str">
        <f>G11</f>
        <v>I.V</v>
      </c>
      <c r="K11" s="5"/>
    </row>
    <row r="12" spans="1:11">
      <c r="A12" s="7" t="s">
        <v>36</v>
      </c>
      <c r="B12" s="2"/>
      <c r="C12" s="2"/>
      <c r="D12" s="2"/>
      <c r="E12" s="2"/>
      <c r="F12" s="131"/>
      <c r="G12" s="2"/>
      <c r="H12" s="2"/>
      <c r="I12" s="2"/>
      <c r="J12" s="2"/>
      <c r="K12" s="131"/>
    </row>
    <row r="13" spans="1:11">
      <c r="A13" s="7" t="s">
        <v>91</v>
      </c>
      <c r="B13" s="2"/>
      <c r="C13" s="2"/>
      <c r="D13" s="2"/>
      <c r="E13" s="2"/>
      <c r="F13" s="130" t="s">
        <v>53</v>
      </c>
      <c r="G13" s="2"/>
      <c r="H13" s="2"/>
      <c r="I13" s="2"/>
      <c r="J13" s="2"/>
      <c r="K13" s="131"/>
    </row>
    <row r="16" spans="1:11">
      <c r="A16" s="393" t="s">
        <v>206</v>
      </c>
      <c r="B16" s="393"/>
      <c r="C16" s="393"/>
      <c r="D16" s="393"/>
      <c r="E16" s="393"/>
      <c r="F16" s="393"/>
      <c r="G16" s="393"/>
      <c r="H16" s="393"/>
      <c r="I16" s="393"/>
      <c r="J16" s="393"/>
      <c r="K16" s="393"/>
    </row>
    <row r="17" spans="1:11">
      <c r="A17" s="7" t="s">
        <v>49</v>
      </c>
      <c r="B17" s="7">
        <v>1</v>
      </c>
      <c r="C17" s="7">
        <v>2</v>
      </c>
      <c r="D17" s="7">
        <v>3</v>
      </c>
      <c r="E17" s="7">
        <v>4</v>
      </c>
      <c r="F17" s="7">
        <v>5</v>
      </c>
      <c r="G17" s="7">
        <v>6</v>
      </c>
      <c r="H17" s="7">
        <v>7</v>
      </c>
      <c r="I17" s="7">
        <v>8</v>
      </c>
      <c r="J17" s="7">
        <v>9</v>
      </c>
      <c r="K17" s="7">
        <v>10</v>
      </c>
    </row>
    <row r="18" spans="1:11">
      <c r="A18" s="7" t="s">
        <v>48</v>
      </c>
      <c r="B18" s="2"/>
      <c r="C18" s="2"/>
      <c r="D18" s="2"/>
      <c r="E18" s="2"/>
      <c r="F18" s="2"/>
      <c r="G18" s="2"/>
      <c r="H18" s="2"/>
      <c r="I18" s="2"/>
      <c r="J18" s="2"/>
      <c r="K18" s="159"/>
    </row>
    <row r="19" spans="1:11">
      <c r="A19" s="7" t="s">
        <v>32</v>
      </c>
      <c r="B19" s="2"/>
      <c r="C19" s="2"/>
      <c r="D19" s="33">
        <f>'BALANCE Y VALOR DE DESECHO'!J9</f>
        <v>7839</v>
      </c>
      <c r="E19" s="2"/>
      <c r="F19" s="2"/>
      <c r="G19" s="33">
        <f>D19</f>
        <v>7839</v>
      </c>
      <c r="H19" s="2"/>
      <c r="I19" s="2"/>
      <c r="J19" s="33">
        <f>G19</f>
        <v>7839</v>
      </c>
      <c r="K19" s="2"/>
    </row>
    <row r="20" spans="1:11">
      <c r="A20" s="7" t="s">
        <v>36</v>
      </c>
      <c r="B20" s="2"/>
      <c r="C20" s="2"/>
      <c r="D20" s="2"/>
      <c r="E20" s="2"/>
      <c r="F20" s="123"/>
      <c r="G20" s="2"/>
      <c r="H20" s="2"/>
      <c r="I20" s="2"/>
      <c r="J20" s="2"/>
      <c r="K20" s="160"/>
    </row>
    <row r="21" spans="1:11" s="32" customFormat="1">
      <c r="A21" s="7" t="s">
        <v>91</v>
      </c>
      <c r="B21" s="2"/>
      <c r="C21" s="2"/>
      <c r="D21" s="2"/>
      <c r="E21" s="2"/>
      <c r="F21" s="122">
        <f>K21</f>
        <v>54000</v>
      </c>
      <c r="G21" s="2"/>
      <c r="H21" s="2"/>
      <c r="I21" s="2"/>
      <c r="J21" s="2"/>
      <c r="K21" s="33">
        <f>'BALANCE Y VALOR DE DESECHO'!J10</f>
        <v>54000</v>
      </c>
    </row>
    <row r="22" spans="1:11" s="32" customFormat="1">
      <c r="A22" s="50" t="s">
        <v>22</v>
      </c>
      <c r="B22" s="24">
        <f t="shared" ref="B22:C22" si="0">SUM(B18:B21)</f>
        <v>0</v>
      </c>
      <c r="C22" s="24">
        <f t="shared" si="0"/>
        <v>0</v>
      </c>
      <c r="D22" s="24">
        <f>SUM(D18:D21)</f>
        <v>7839</v>
      </c>
      <c r="E22" s="24">
        <f t="shared" ref="E22:K22" si="1">SUM(E18:E21)</f>
        <v>0</v>
      </c>
      <c r="F22" s="24">
        <f t="shared" si="1"/>
        <v>54000</v>
      </c>
      <c r="G22" s="24">
        <f t="shared" si="1"/>
        <v>7839</v>
      </c>
      <c r="H22" s="24">
        <f t="shared" si="1"/>
        <v>0</v>
      </c>
      <c r="I22" s="24">
        <f t="shared" si="1"/>
        <v>0</v>
      </c>
      <c r="J22" s="24">
        <f t="shared" si="1"/>
        <v>7839</v>
      </c>
      <c r="K22" s="24">
        <f t="shared" si="1"/>
        <v>54000</v>
      </c>
    </row>
    <row r="23" spans="1:11">
      <c r="A23" s="32"/>
      <c r="B23" s="32"/>
      <c r="C23" s="32"/>
      <c r="D23" s="32"/>
      <c r="E23" s="32"/>
      <c r="F23" s="32"/>
      <c r="G23" s="32"/>
      <c r="H23" s="32"/>
      <c r="I23" s="32"/>
      <c r="J23" s="32"/>
      <c r="K23" s="32"/>
    </row>
    <row r="24" spans="1:11">
      <c r="A24" s="397" t="s">
        <v>207</v>
      </c>
      <c r="B24" s="397"/>
      <c r="C24" s="31">
        <v>0.25</v>
      </c>
      <c r="D24" s="32"/>
      <c r="E24" s="32"/>
      <c r="F24" s="32"/>
      <c r="G24" s="32"/>
      <c r="H24" s="32"/>
      <c r="I24" s="32"/>
      <c r="J24" s="32"/>
      <c r="K24" s="32"/>
    </row>
    <row r="25" spans="1:11">
      <c r="A25" s="393" t="s">
        <v>52</v>
      </c>
      <c r="B25" s="393"/>
      <c r="C25" s="393"/>
      <c r="D25" s="393"/>
      <c r="E25" s="393"/>
      <c r="F25" s="393"/>
      <c r="G25" s="393"/>
      <c r="H25" s="393"/>
      <c r="I25" s="393"/>
      <c r="J25" s="393"/>
      <c r="K25" s="393"/>
    </row>
    <row r="26" spans="1:11">
      <c r="A26" s="7" t="s">
        <v>49</v>
      </c>
      <c r="B26" s="7">
        <v>1</v>
      </c>
      <c r="C26" s="7">
        <v>2</v>
      </c>
      <c r="D26" s="7">
        <v>3</v>
      </c>
      <c r="E26" s="7">
        <v>4</v>
      </c>
      <c r="F26" s="7">
        <v>5</v>
      </c>
      <c r="G26" s="7">
        <v>6</v>
      </c>
      <c r="H26" s="7">
        <v>7</v>
      </c>
      <c r="I26" s="7">
        <v>8</v>
      </c>
      <c r="J26" s="7">
        <v>9</v>
      </c>
      <c r="K26" s="7">
        <v>10</v>
      </c>
    </row>
    <row r="27" spans="1:11">
      <c r="A27" s="7" t="s">
        <v>48</v>
      </c>
      <c r="B27" s="2"/>
      <c r="C27" s="2"/>
      <c r="D27" s="2"/>
      <c r="E27" s="2"/>
      <c r="F27" s="2"/>
      <c r="G27" s="2"/>
      <c r="H27" s="2"/>
      <c r="I27" s="2"/>
      <c r="J27" s="2"/>
      <c r="K27" s="160"/>
    </row>
    <row r="28" spans="1:11">
      <c r="A28" s="7" t="s">
        <v>32</v>
      </c>
      <c r="B28" s="2"/>
      <c r="C28" s="2"/>
      <c r="D28" s="33">
        <f>D19*$C$24</f>
        <v>1959.75</v>
      </c>
      <c r="E28" s="2"/>
      <c r="F28" s="2"/>
      <c r="G28" s="33">
        <f>G19*C24</f>
        <v>1959.75</v>
      </c>
      <c r="H28" s="2"/>
      <c r="I28" s="2"/>
      <c r="J28" s="33">
        <f>J19*C24</f>
        <v>1959.75</v>
      </c>
      <c r="K28" s="2"/>
    </row>
    <row r="29" spans="1:11">
      <c r="A29" s="7" t="s">
        <v>36</v>
      </c>
      <c r="B29" s="2"/>
      <c r="C29" s="2"/>
      <c r="D29" s="2"/>
      <c r="E29" s="2"/>
      <c r="F29" s="123"/>
      <c r="G29" s="2"/>
      <c r="H29" s="2"/>
      <c r="I29" s="2"/>
      <c r="J29" s="2"/>
      <c r="K29" s="160"/>
    </row>
    <row r="30" spans="1:11">
      <c r="A30" s="7" t="s">
        <v>91</v>
      </c>
      <c r="B30" s="2"/>
      <c r="C30" s="2"/>
      <c r="D30" s="2"/>
      <c r="E30" s="2"/>
      <c r="F30" s="122">
        <f>F21*C24</f>
        <v>13500</v>
      </c>
      <c r="G30" s="2"/>
      <c r="H30" s="2"/>
      <c r="I30" s="2"/>
      <c r="J30" s="2"/>
      <c r="K30" s="33">
        <f>K21*C24</f>
        <v>13500</v>
      </c>
    </row>
    <row r="31" spans="1:11">
      <c r="A31" s="50" t="s">
        <v>22</v>
      </c>
      <c r="B31" s="24">
        <f>SUM(B27:B30)</f>
        <v>0</v>
      </c>
      <c r="C31" s="24">
        <f t="shared" ref="C31:J31" si="2">SUM(C27:C30)</f>
        <v>0</v>
      </c>
      <c r="D31" s="24">
        <f t="shared" si="2"/>
        <v>1959.75</v>
      </c>
      <c r="E31" s="24">
        <f t="shared" si="2"/>
        <v>0</v>
      </c>
      <c r="F31" s="24">
        <f t="shared" si="2"/>
        <v>13500</v>
      </c>
      <c r="G31" s="24">
        <f t="shared" si="2"/>
        <v>1959.75</v>
      </c>
      <c r="H31" s="24">
        <f t="shared" si="2"/>
        <v>0</v>
      </c>
      <c r="I31" s="24">
        <f t="shared" si="2"/>
        <v>0</v>
      </c>
      <c r="J31" s="24">
        <f t="shared" si="2"/>
        <v>1959.75</v>
      </c>
      <c r="K31" s="24">
        <f>SUM(K27:K30)</f>
        <v>13500</v>
      </c>
    </row>
  </sheetData>
  <mergeCells count="5">
    <mergeCell ref="A1:K1"/>
    <mergeCell ref="A8:K8"/>
    <mergeCell ref="A16:K16"/>
    <mergeCell ref="A25:K25"/>
    <mergeCell ref="A24:B2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FF0000"/>
  </sheetPr>
  <dimension ref="A1:Q22"/>
  <sheetViews>
    <sheetView workbookViewId="0">
      <selection activeCell="C3" sqref="C3"/>
    </sheetView>
  </sheetViews>
  <sheetFormatPr baseColWidth="10" defaultRowHeight="15"/>
  <cols>
    <col min="1" max="1" width="25.7109375" customWidth="1"/>
    <col min="2" max="2" width="15.85546875" customWidth="1"/>
    <col min="4" max="4" width="28.7109375" customWidth="1"/>
    <col min="5" max="5" width="10.85546875" customWidth="1"/>
    <col min="6" max="6" width="13.85546875" customWidth="1"/>
    <col min="8" max="8" width="11.85546875" customWidth="1"/>
    <col min="9" max="9" width="31.5703125" customWidth="1"/>
    <col min="10" max="10" width="12.42578125" customWidth="1"/>
    <col min="11" max="11" width="10.7109375" customWidth="1"/>
    <col min="12" max="12" width="16.5703125" customWidth="1"/>
    <col min="13" max="13" width="14.85546875" style="32" customWidth="1"/>
    <col min="14" max="14" width="18.85546875" style="32" customWidth="1"/>
    <col min="15" max="15" width="16" customWidth="1"/>
    <col min="16" max="16" width="14.85546875" customWidth="1"/>
  </cols>
  <sheetData>
    <row r="1" spans="1:17">
      <c r="I1" s="403" t="s">
        <v>102</v>
      </c>
      <c r="J1" s="403"/>
      <c r="K1" s="403"/>
      <c r="L1" s="403"/>
      <c r="M1" s="403"/>
      <c r="N1" s="403"/>
      <c r="O1" s="403"/>
      <c r="P1" s="403"/>
      <c r="Q1" s="403"/>
    </row>
    <row r="2" spans="1:17" ht="15" customHeight="1">
      <c r="A2" s="405" t="s">
        <v>31</v>
      </c>
      <c r="B2" s="406"/>
      <c r="D2" s="407" t="s">
        <v>90</v>
      </c>
      <c r="E2" s="407"/>
      <c r="F2" s="407"/>
      <c r="G2" s="407"/>
      <c r="I2" s="400" t="s">
        <v>94</v>
      </c>
      <c r="J2" s="401"/>
      <c r="K2" s="401"/>
      <c r="L2" s="401"/>
      <c r="M2" s="401"/>
      <c r="N2" s="401"/>
      <c r="O2" s="401"/>
      <c r="P2" s="401"/>
      <c r="Q2" s="402"/>
    </row>
    <row r="3" spans="1:17">
      <c r="A3" s="227" t="s">
        <v>26</v>
      </c>
      <c r="B3" s="227" t="s">
        <v>28</v>
      </c>
      <c r="D3" s="227" t="s">
        <v>26</v>
      </c>
      <c r="E3" s="227" t="s">
        <v>28</v>
      </c>
      <c r="F3" s="227" t="s">
        <v>153</v>
      </c>
      <c r="G3" s="227" t="s">
        <v>154</v>
      </c>
      <c r="I3" s="367" t="s">
        <v>93</v>
      </c>
      <c r="J3" s="399"/>
      <c r="K3" s="399"/>
      <c r="L3" s="399"/>
      <c r="M3" s="399"/>
      <c r="N3" s="399"/>
      <c r="O3" s="399"/>
      <c r="P3" s="399"/>
      <c r="Q3" s="368"/>
    </row>
    <row r="4" spans="1:17" ht="30" customHeight="1">
      <c r="A4" s="2" t="s">
        <v>269</v>
      </c>
      <c r="B4" s="2">
        <v>1</v>
      </c>
      <c r="D4" s="2" t="s">
        <v>269</v>
      </c>
      <c r="E4" s="2">
        <v>1</v>
      </c>
      <c r="F4" s="29">
        <v>11500</v>
      </c>
      <c r="G4" s="29">
        <f>F4*E4</f>
        <v>11500</v>
      </c>
      <c r="I4" s="228" t="s">
        <v>95</v>
      </c>
      <c r="J4" s="229" t="s">
        <v>96</v>
      </c>
      <c r="K4" s="229" t="s">
        <v>97</v>
      </c>
      <c r="L4" s="229" t="s">
        <v>106</v>
      </c>
      <c r="M4" s="229" t="s">
        <v>240</v>
      </c>
      <c r="N4" s="229" t="s">
        <v>238</v>
      </c>
      <c r="O4" s="229" t="s">
        <v>103</v>
      </c>
      <c r="P4" s="229" t="s">
        <v>104</v>
      </c>
      <c r="Q4" s="229" t="s">
        <v>105</v>
      </c>
    </row>
    <row r="5" spans="1:17" ht="15" customHeight="1">
      <c r="A5" s="2" t="s">
        <v>271</v>
      </c>
      <c r="B5" s="2">
        <v>1</v>
      </c>
      <c r="D5" s="2" t="s">
        <v>271</v>
      </c>
      <c r="E5" s="2">
        <v>1</v>
      </c>
      <c r="F5" s="2">
        <v>13000</v>
      </c>
      <c r="G5" s="29">
        <f t="shared" ref="G5:G8" si="0">F5*E5</f>
        <v>13000</v>
      </c>
      <c r="I5" s="11" t="s">
        <v>107</v>
      </c>
      <c r="J5" s="25">
        <f>'obras fisicas'!E15</f>
        <v>24000</v>
      </c>
      <c r="K5" s="25"/>
      <c r="L5" s="25"/>
      <c r="M5" s="25"/>
      <c r="N5" s="25"/>
      <c r="O5" s="25"/>
      <c r="P5" s="25"/>
      <c r="Q5" s="230">
        <f>J5</f>
        <v>24000</v>
      </c>
    </row>
    <row r="6" spans="1:17" ht="15" customHeight="1">
      <c r="A6" s="2" t="s">
        <v>270</v>
      </c>
      <c r="B6" s="2">
        <v>1</v>
      </c>
      <c r="D6" s="2" t="s">
        <v>270</v>
      </c>
      <c r="E6" s="2">
        <v>1</v>
      </c>
      <c r="F6" s="2">
        <v>12850</v>
      </c>
      <c r="G6" s="29">
        <f t="shared" si="0"/>
        <v>12850</v>
      </c>
      <c r="I6" s="11" t="s">
        <v>108</v>
      </c>
      <c r="J6" s="25">
        <f>'obras fisicas'!F23</f>
        <v>30400</v>
      </c>
      <c r="K6" s="25">
        <v>50</v>
      </c>
      <c r="L6" s="25">
        <f>J6/K6</f>
        <v>608</v>
      </c>
      <c r="M6" s="25">
        <v>1</v>
      </c>
      <c r="N6" s="25">
        <f>J6*M6</f>
        <v>30400</v>
      </c>
      <c r="O6" s="25">
        <v>10</v>
      </c>
      <c r="P6" s="25">
        <f>L6*O6</f>
        <v>6080</v>
      </c>
      <c r="Q6" s="230">
        <f>N6-P6</f>
        <v>24320</v>
      </c>
    </row>
    <row r="7" spans="1:17">
      <c r="A7" s="2" t="s">
        <v>272</v>
      </c>
      <c r="B7" s="2">
        <v>3</v>
      </c>
      <c r="D7" s="2" t="s">
        <v>272</v>
      </c>
      <c r="E7" s="2">
        <v>3</v>
      </c>
      <c r="F7" s="2">
        <v>400</v>
      </c>
      <c r="G7" s="29">
        <f t="shared" si="0"/>
        <v>1200</v>
      </c>
      <c r="I7" s="11" t="s">
        <v>98</v>
      </c>
      <c r="J7" s="44">
        <f>SUM(G4:G8)</f>
        <v>48550</v>
      </c>
      <c r="K7" s="26">
        <v>10</v>
      </c>
      <c r="L7" s="26">
        <f>J7/K7</f>
        <v>4855</v>
      </c>
      <c r="M7" s="26">
        <v>1</v>
      </c>
      <c r="N7" s="25">
        <f t="shared" ref="N7:N10" si="1">J7*M7</f>
        <v>48550</v>
      </c>
      <c r="O7" s="26">
        <v>10</v>
      </c>
      <c r="P7" s="25">
        <f t="shared" ref="P7:P8" si="2">L7*O7</f>
        <v>48550</v>
      </c>
      <c r="Q7" s="230">
        <f t="shared" ref="Q7:Q10" si="3">N7-P7</f>
        <v>0</v>
      </c>
    </row>
    <row r="8" spans="1:17">
      <c r="A8" s="2" t="s">
        <v>273</v>
      </c>
      <c r="B8" s="2">
        <v>1</v>
      </c>
      <c r="D8" s="2" t="s">
        <v>273</v>
      </c>
      <c r="E8" s="2">
        <v>1</v>
      </c>
      <c r="F8" s="2">
        <v>10000</v>
      </c>
      <c r="G8" s="29">
        <f t="shared" si="0"/>
        <v>10000</v>
      </c>
      <c r="I8" s="11" t="s">
        <v>239</v>
      </c>
      <c r="J8" s="44">
        <f>SUM(G16:G19)</f>
        <v>1450</v>
      </c>
      <c r="K8" s="26">
        <v>10</v>
      </c>
      <c r="L8" s="26">
        <f>J8/K8</f>
        <v>145</v>
      </c>
      <c r="M8" s="26">
        <v>1</v>
      </c>
      <c r="N8" s="25">
        <f t="shared" si="1"/>
        <v>1450</v>
      </c>
      <c r="O8" s="26">
        <v>10</v>
      </c>
      <c r="P8" s="25">
        <f t="shared" si="2"/>
        <v>1450</v>
      </c>
      <c r="Q8" s="230">
        <f t="shared" si="3"/>
        <v>0</v>
      </c>
    </row>
    <row r="9" spans="1:17">
      <c r="A9" s="404" t="s">
        <v>32</v>
      </c>
      <c r="B9" s="404"/>
      <c r="D9" s="227" t="s">
        <v>32</v>
      </c>
      <c r="E9" s="227"/>
      <c r="F9" s="227"/>
      <c r="G9" s="227"/>
      <c r="H9" s="45"/>
      <c r="I9" s="11" t="s">
        <v>110</v>
      </c>
      <c r="J9" s="26">
        <f>SUM(G10:G14)</f>
        <v>7839</v>
      </c>
      <c r="K9" s="26">
        <v>3</v>
      </c>
      <c r="L9" s="44">
        <f>J9/K9</f>
        <v>2613</v>
      </c>
      <c r="M9" s="26">
        <v>4</v>
      </c>
      <c r="N9" s="25">
        <f>J9*M9</f>
        <v>31356</v>
      </c>
      <c r="O9" s="26">
        <v>10</v>
      </c>
      <c r="P9" s="25">
        <f>L9*O9</f>
        <v>26130</v>
      </c>
      <c r="Q9" s="231">
        <f>N9-P9</f>
        <v>5226</v>
      </c>
    </row>
    <row r="10" spans="1:17" ht="15.75" customHeight="1">
      <c r="A10" s="2" t="s">
        <v>29</v>
      </c>
      <c r="B10" s="2">
        <v>10</v>
      </c>
      <c r="D10" s="2" t="s">
        <v>29</v>
      </c>
      <c r="E10" s="2">
        <v>10</v>
      </c>
      <c r="F10" s="2">
        <v>700</v>
      </c>
      <c r="G10" s="2">
        <f t="shared" ref="G10:G19" si="4">F10*E10</f>
        <v>7000</v>
      </c>
      <c r="I10" s="11" t="s">
        <v>99</v>
      </c>
      <c r="J10" s="26">
        <f>G21</f>
        <v>54000</v>
      </c>
      <c r="K10" s="26">
        <v>5</v>
      </c>
      <c r="L10" s="26">
        <f>J10/K10</f>
        <v>10800</v>
      </c>
      <c r="M10" s="26">
        <v>2</v>
      </c>
      <c r="N10" s="25">
        <f t="shared" si="1"/>
        <v>108000</v>
      </c>
      <c r="O10" s="26">
        <v>10</v>
      </c>
      <c r="P10" s="25">
        <f>L10*O10</f>
        <v>108000</v>
      </c>
      <c r="Q10" s="230">
        <f t="shared" si="3"/>
        <v>0</v>
      </c>
    </row>
    <row r="11" spans="1:17">
      <c r="A11" s="2" t="s">
        <v>30</v>
      </c>
      <c r="B11" s="2">
        <v>3</v>
      </c>
      <c r="D11" s="2" t="s">
        <v>30</v>
      </c>
      <c r="E11" s="2">
        <v>3</v>
      </c>
      <c r="F11" s="2">
        <v>69</v>
      </c>
      <c r="G11" s="2">
        <f t="shared" si="4"/>
        <v>207</v>
      </c>
      <c r="H11" s="17"/>
      <c r="J11" s="398" t="s">
        <v>109</v>
      </c>
      <c r="K11" s="398"/>
      <c r="L11" s="231">
        <f>SUM(L6:L10)</f>
        <v>19021</v>
      </c>
      <c r="M11" s="230"/>
      <c r="N11" s="230"/>
      <c r="O11" s="398" t="s">
        <v>47</v>
      </c>
      <c r="P11" s="398"/>
      <c r="Q11" s="231">
        <f>SUM(Q5:Q10)</f>
        <v>53546</v>
      </c>
    </row>
    <row r="12" spans="1:17">
      <c r="A12" s="2" t="s">
        <v>33</v>
      </c>
      <c r="B12" s="2">
        <v>1</v>
      </c>
      <c r="D12" s="2" t="s">
        <v>33</v>
      </c>
      <c r="E12" s="2">
        <v>1</v>
      </c>
      <c r="F12" s="2">
        <v>54</v>
      </c>
      <c r="G12" s="2">
        <f t="shared" si="4"/>
        <v>54</v>
      </c>
      <c r="Q12" s="27"/>
    </row>
    <row r="13" spans="1:17">
      <c r="A13" s="2" t="s">
        <v>34</v>
      </c>
      <c r="B13" s="2">
        <v>6</v>
      </c>
      <c r="D13" s="2" t="s">
        <v>34</v>
      </c>
      <c r="E13" s="2">
        <v>6</v>
      </c>
      <c r="F13" s="2">
        <v>38</v>
      </c>
      <c r="G13" s="2">
        <f t="shared" si="4"/>
        <v>228</v>
      </c>
    </row>
    <row r="14" spans="1:17">
      <c r="A14" s="2" t="s">
        <v>35</v>
      </c>
      <c r="B14" s="2">
        <v>1</v>
      </c>
      <c r="D14" s="2" t="s">
        <v>35</v>
      </c>
      <c r="E14" s="2">
        <v>1</v>
      </c>
      <c r="F14" s="2">
        <v>350</v>
      </c>
      <c r="G14" s="2">
        <f t="shared" si="4"/>
        <v>350</v>
      </c>
    </row>
    <row r="15" spans="1:17">
      <c r="A15" s="404" t="s">
        <v>36</v>
      </c>
      <c r="B15" s="404"/>
      <c r="D15" s="227" t="s">
        <v>36</v>
      </c>
      <c r="E15" s="227"/>
      <c r="F15" s="227"/>
      <c r="G15" s="227"/>
    </row>
    <row r="16" spans="1:17">
      <c r="A16" s="2" t="s">
        <v>38</v>
      </c>
      <c r="B16" s="2">
        <v>5</v>
      </c>
      <c r="D16" s="2" t="s">
        <v>38</v>
      </c>
      <c r="E16" s="2">
        <v>5</v>
      </c>
      <c r="F16" s="2">
        <v>140</v>
      </c>
      <c r="G16" s="2">
        <f t="shared" si="4"/>
        <v>700</v>
      </c>
    </row>
    <row r="17" spans="1:7">
      <c r="A17" s="2" t="s">
        <v>37</v>
      </c>
      <c r="B17" s="2">
        <v>5</v>
      </c>
      <c r="D17" s="2" t="s">
        <v>37</v>
      </c>
      <c r="E17" s="2">
        <v>5</v>
      </c>
      <c r="F17" s="2">
        <v>85</v>
      </c>
      <c r="G17" s="2">
        <f t="shared" si="4"/>
        <v>425</v>
      </c>
    </row>
    <row r="18" spans="1:7">
      <c r="A18" s="2" t="s">
        <v>40</v>
      </c>
      <c r="B18" s="2">
        <v>5</v>
      </c>
      <c r="D18" s="2" t="s">
        <v>40</v>
      </c>
      <c r="E18" s="2">
        <v>5</v>
      </c>
      <c r="F18" s="2">
        <v>38</v>
      </c>
      <c r="G18" s="2">
        <f t="shared" si="4"/>
        <v>190</v>
      </c>
    </row>
    <row r="19" spans="1:7">
      <c r="A19" s="2" t="s">
        <v>39</v>
      </c>
      <c r="B19" s="2">
        <v>5</v>
      </c>
      <c r="D19" s="2" t="s">
        <v>39</v>
      </c>
      <c r="E19" s="2">
        <v>5</v>
      </c>
      <c r="F19" s="2">
        <v>27</v>
      </c>
      <c r="G19" s="2">
        <f t="shared" si="4"/>
        <v>135</v>
      </c>
    </row>
    <row r="20" spans="1:7">
      <c r="A20" s="404" t="s">
        <v>91</v>
      </c>
      <c r="B20" s="404"/>
      <c r="D20" s="227" t="s">
        <v>91</v>
      </c>
      <c r="E20" s="227"/>
      <c r="F20" s="227"/>
      <c r="G20" s="227"/>
    </row>
    <row r="21" spans="1:7">
      <c r="A21" s="5" t="s">
        <v>27</v>
      </c>
      <c r="B21" s="2">
        <v>2</v>
      </c>
      <c r="D21" s="2" t="s">
        <v>27</v>
      </c>
      <c r="E21" s="2">
        <v>2</v>
      </c>
      <c r="F21" s="2">
        <v>27000</v>
      </c>
      <c r="G21" s="2">
        <f>F21*E21</f>
        <v>54000</v>
      </c>
    </row>
    <row r="22" spans="1:7">
      <c r="D22" s="5" t="s">
        <v>253</v>
      </c>
      <c r="G22" s="347">
        <f>SUM(G4:G21)</f>
        <v>111839</v>
      </c>
    </row>
  </sheetData>
  <mergeCells count="10">
    <mergeCell ref="A15:B15"/>
    <mergeCell ref="A9:B9"/>
    <mergeCell ref="A2:B2"/>
    <mergeCell ref="D2:G2"/>
    <mergeCell ref="A20:B20"/>
    <mergeCell ref="O11:P11"/>
    <mergeCell ref="J11:K11"/>
    <mergeCell ref="I3:Q3"/>
    <mergeCell ref="I2:Q2"/>
    <mergeCell ref="I1:Q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O48"/>
  <sheetViews>
    <sheetView topLeftCell="A23" workbookViewId="0">
      <selection activeCell="E42" sqref="E42"/>
    </sheetView>
  </sheetViews>
  <sheetFormatPr baseColWidth="10" defaultRowHeight="15"/>
  <cols>
    <col min="1" max="1" width="29.28515625" customWidth="1"/>
    <col min="2" max="2" width="13.7109375" customWidth="1"/>
    <col min="3" max="3" width="14.85546875" style="27" customWidth="1"/>
    <col min="4" max="4" width="14.42578125" style="27" customWidth="1"/>
    <col min="5" max="5" width="15.5703125" style="27" customWidth="1"/>
    <col min="6" max="6" width="13.5703125" style="27" customWidth="1"/>
    <col min="7" max="7" width="15.42578125" style="27" customWidth="1"/>
    <col min="8" max="8" width="17.5703125" style="27" customWidth="1"/>
    <col min="9" max="9" width="16" style="27" customWidth="1"/>
    <col min="10" max="10" width="13.28515625" style="27" customWidth="1"/>
    <col min="11" max="11" width="16" style="27" customWidth="1"/>
    <col min="12" max="12" width="14.28515625" style="27" customWidth="1"/>
    <col min="13" max="13" width="14.5703125" style="27" customWidth="1"/>
    <col min="14" max="14" width="19.7109375" style="27" customWidth="1"/>
    <col min="15" max="15" width="14.5703125" customWidth="1"/>
  </cols>
  <sheetData>
    <row r="1" spans="1:15" s="32" customFormat="1">
      <c r="A1" s="32" t="s">
        <v>144</v>
      </c>
      <c r="B1" s="31">
        <v>0.7</v>
      </c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</row>
    <row r="2" spans="1:15" s="32" customFormat="1">
      <c r="A2" s="32" t="s">
        <v>145</v>
      </c>
      <c r="B2" s="31">
        <v>0.3</v>
      </c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</row>
    <row r="3" spans="1:15" s="32" customFormat="1"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</row>
    <row r="4" spans="1:15" s="32" customFormat="1">
      <c r="A4" s="409" t="s">
        <v>233</v>
      </c>
      <c r="B4" s="409"/>
      <c r="C4" s="409"/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27"/>
    </row>
    <row r="5" spans="1:15" s="32" customFormat="1">
      <c r="A5" s="239" t="s">
        <v>234</v>
      </c>
      <c r="B5" s="74">
        <v>0.06</v>
      </c>
      <c r="C5" s="75"/>
      <c r="D5" s="75"/>
      <c r="E5" s="75"/>
      <c r="F5" s="75"/>
      <c r="G5" s="75"/>
      <c r="H5" s="75"/>
      <c r="I5" s="75"/>
      <c r="J5" s="75"/>
      <c r="K5" s="75"/>
      <c r="L5" s="75"/>
      <c r="M5" s="76"/>
      <c r="N5" s="27"/>
    </row>
    <row r="6" spans="1:15" ht="15" customHeight="1">
      <c r="A6" s="124"/>
      <c r="B6" s="77" t="s">
        <v>129</v>
      </c>
      <c r="C6" s="78" t="s">
        <v>130</v>
      </c>
      <c r="D6" s="78" t="s">
        <v>131</v>
      </c>
      <c r="E6" s="78" t="s">
        <v>132</v>
      </c>
      <c r="F6" s="78" t="s">
        <v>133</v>
      </c>
      <c r="G6" s="78" t="s">
        <v>134</v>
      </c>
      <c r="H6" s="78" t="s">
        <v>135</v>
      </c>
      <c r="I6" s="78" t="s">
        <v>136</v>
      </c>
      <c r="J6" s="78" t="s">
        <v>137</v>
      </c>
      <c r="K6" s="78" t="s">
        <v>138</v>
      </c>
      <c r="L6" s="78" t="s">
        <v>139</v>
      </c>
      <c r="M6" s="78" t="s">
        <v>140</v>
      </c>
      <c r="N6" s="27" t="s">
        <v>141</v>
      </c>
    </row>
    <row r="7" spans="1:15" s="32" customFormat="1" ht="30">
      <c r="A7" s="125" t="s">
        <v>290</v>
      </c>
      <c r="B7" s="79"/>
      <c r="C7" s="80">
        <v>0.7</v>
      </c>
      <c r="D7" s="80">
        <v>0.7</v>
      </c>
      <c r="E7" s="81">
        <v>0.9</v>
      </c>
      <c r="F7" s="80">
        <v>0.9</v>
      </c>
      <c r="G7" s="82">
        <v>1.1999998999999999</v>
      </c>
      <c r="H7" s="80">
        <v>1.2</v>
      </c>
      <c r="I7" s="80">
        <v>1.2</v>
      </c>
      <c r="J7" s="80">
        <v>1.2</v>
      </c>
      <c r="K7" s="80">
        <v>1.2</v>
      </c>
      <c r="L7" s="80">
        <v>1.3</v>
      </c>
      <c r="M7" s="80">
        <v>1.5</v>
      </c>
      <c r="N7" s="27"/>
    </row>
    <row r="8" spans="1:15">
      <c r="A8" s="79" t="s">
        <v>120</v>
      </c>
      <c r="B8" s="79"/>
      <c r="C8" s="83">
        <f>'cf y cv'!$C$47</f>
        <v>0.3</v>
      </c>
      <c r="D8" s="83">
        <f>'cf y cv'!$C$47</f>
        <v>0.3</v>
      </c>
      <c r="E8" s="83">
        <f>'cf y cv'!$C$47</f>
        <v>0.3</v>
      </c>
      <c r="F8" s="83">
        <f>'cf y cv'!$C$47</f>
        <v>0.3</v>
      </c>
      <c r="G8" s="83">
        <f>'cf y cv'!$C$47</f>
        <v>0.3</v>
      </c>
      <c r="H8" s="83">
        <f>'cf y cv'!$C$47</f>
        <v>0.3</v>
      </c>
      <c r="I8" s="83">
        <f>'cf y cv'!$C$47</f>
        <v>0.3</v>
      </c>
      <c r="J8" s="83">
        <f>'cf y cv'!$C$47</f>
        <v>0.3</v>
      </c>
      <c r="K8" s="83">
        <f>'cf y cv'!$C$47</f>
        <v>0.3</v>
      </c>
      <c r="L8" s="83">
        <f>'cf y cv'!$C$47</f>
        <v>0.3</v>
      </c>
      <c r="M8" s="83">
        <f>'cf y cv'!$C$47</f>
        <v>0.3</v>
      </c>
      <c r="N8" s="39"/>
    </row>
    <row r="9" spans="1:15">
      <c r="A9" s="79" t="s">
        <v>121</v>
      </c>
      <c r="B9" s="79"/>
      <c r="C9" s="84">
        <f>C7*'DEMANDA PROYECTADA'!$C$8</f>
        <v>94585.152713939999</v>
      </c>
      <c r="D9" s="84">
        <f>D7*'DEMANDA PROYECTADA'!$C$8</f>
        <v>94585.152713939999</v>
      </c>
      <c r="E9" s="84">
        <f>E7*'DEMANDA PROYECTADA'!$C$8</f>
        <v>121609.48206078001</v>
      </c>
      <c r="F9" s="84">
        <f>F7*'DEMANDA PROYECTADA'!$C$8</f>
        <v>121609.48206078001</v>
      </c>
      <c r="G9" s="84">
        <f>G7*'DEMANDA PROYECTADA'!$C$8</f>
        <v>162145.96256887531</v>
      </c>
      <c r="H9" s="84">
        <f>H7*'DEMANDA PROYECTADA'!$C$8</f>
        <v>162145.97608104002</v>
      </c>
      <c r="I9" s="84">
        <f>I7*'DEMANDA PROYECTADA'!$C$8</f>
        <v>162145.97608104002</v>
      </c>
      <c r="J9" s="84">
        <f>J7*'DEMANDA PROYECTADA'!$C$8</f>
        <v>162145.97608104002</v>
      </c>
      <c r="K9" s="84">
        <f>K7*'DEMANDA PROYECTADA'!$C$8</f>
        <v>162145.97608104002</v>
      </c>
      <c r="L9" s="84">
        <f>L7*'DEMANDA PROYECTADA'!$C$8</f>
        <v>175658.14075446001</v>
      </c>
      <c r="M9" s="84">
        <f>M7*'DEMANDA PROYECTADA'!$C$8</f>
        <v>202682.47010130002</v>
      </c>
      <c r="N9" s="71">
        <f>SUM(C9:M9)</f>
        <v>1621459.7472982353</v>
      </c>
    </row>
    <row r="10" spans="1:15">
      <c r="A10" s="240" t="s">
        <v>122</v>
      </c>
      <c r="B10" s="79"/>
      <c r="C10" s="83">
        <f>C9*C8</f>
        <v>28375.545814181998</v>
      </c>
      <c r="D10" s="83">
        <f t="shared" ref="D10:M10" si="0">D9*D8</f>
        <v>28375.545814181998</v>
      </c>
      <c r="E10" s="83">
        <f t="shared" si="0"/>
        <v>36482.844618233998</v>
      </c>
      <c r="F10" s="83">
        <f t="shared" si="0"/>
        <v>36482.844618233998</v>
      </c>
      <c r="G10" s="83">
        <f t="shared" si="0"/>
        <v>48643.788770662592</v>
      </c>
      <c r="H10" s="83">
        <f t="shared" si="0"/>
        <v>48643.792824312004</v>
      </c>
      <c r="I10" s="83">
        <f t="shared" si="0"/>
        <v>48643.792824312004</v>
      </c>
      <c r="J10" s="83">
        <f t="shared" si="0"/>
        <v>48643.792824312004</v>
      </c>
      <c r="K10" s="83">
        <f t="shared" si="0"/>
        <v>48643.792824312004</v>
      </c>
      <c r="L10" s="83">
        <f t="shared" si="0"/>
        <v>52697.442226338004</v>
      </c>
      <c r="M10" s="83">
        <f t="shared" si="0"/>
        <v>60804.741030390003</v>
      </c>
      <c r="N10" s="39"/>
      <c r="O10" s="16"/>
    </row>
    <row r="11" spans="1:15">
      <c r="A11" s="240" t="s">
        <v>142</v>
      </c>
      <c r="B11" s="79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39"/>
    </row>
    <row r="12" spans="1:15">
      <c r="A12" s="79" t="s">
        <v>241</v>
      </c>
      <c r="B12" s="79"/>
      <c r="C12" s="83">
        <f>C10*$B$1</f>
        <v>19862.882069927397</v>
      </c>
      <c r="D12" s="83">
        <f t="shared" ref="D12:M12" si="1">D10*$B$1</f>
        <v>19862.882069927397</v>
      </c>
      <c r="E12" s="83">
        <f t="shared" si="1"/>
        <v>25537.991232763798</v>
      </c>
      <c r="F12" s="83">
        <f t="shared" si="1"/>
        <v>25537.991232763798</v>
      </c>
      <c r="G12" s="83">
        <f t="shared" si="1"/>
        <v>34050.652139463811</v>
      </c>
      <c r="H12" s="83">
        <f t="shared" si="1"/>
        <v>34050.654977018399</v>
      </c>
      <c r="I12" s="83">
        <f t="shared" si="1"/>
        <v>34050.654977018399</v>
      </c>
      <c r="J12" s="83">
        <f t="shared" si="1"/>
        <v>34050.654977018399</v>
      </c>
      <c r="K12" s="83">
        <f t="shared" si="1"/>
        <v>34050.654977018399</v>
      </c>
      <c r="L12" s="83">
        <f t="shared" si="1"/>
        <v>36888.209558436603</v>
      </c>
      <c r="M12" s="83">
        <f t="shared" si="1"/>
        <v>42563.318721272997</v>
      </c>
      <c r="N12" s="39"/>
    </row>
    <row r="13" spans="1:15">
      <c r="A13" s="79" t="s">
        <v>214</v>
      </c>
      <c r="B13" s="79"/>
      <c r="C13" s="83"/>
      <c r="D13" s="83">
        <f>C10*$B$2</f>
        <v>8512.6637442545998</v>
      </c>
      <c r="E13" s="83">
        <f t="shared" ref="E13:M13" si="2">D10*$B$2</f>
        <v>8512.6637442545998</v>
      </c>
      <c r="F13" s="83">
        <f t="shared" si="2"/>
        <v>10944.853385470198</v>
      </c>
      <c r="G13" s="83">
        <f t="shared" si="2"/>
        <v>10944.853385470198</v>
      </c>
      <c r="H13" s="83">
        <f t="shared" si="2"/>
        <v>14593.136631198777</v>
      </c>
      <c r="I13" s="83">
        <f t="shared" si="2"/>
        <v>14593.137847293601</v>
      </c>
      <c r="J13" s="83">
        <f t="shared" si="2"/>
        <v>14593.137847293601</v>
      </c>
      <c r="K13" s="83">
        <f t="shared" si="2"/>
        <v>14593.137847293601</v>
      </c>
      <c r="L13" s="83">
        <f t="shared" si="2"/>
        <v>14593.137847293601</v>
      </c>
      <c r="M13" s="83">
        <f t="shared" si="2"/>
        <v>15809.2326679014</v>
      </c>
      <c r="N13" s="39"/>
    </row>
    <row r="14" spans="1:15">
      <c r="A14" s="240" t="s">
        <v>143</v>
      </c>
      <c r="B14" s="79"/>
      <c r="C14" s="83">
        <f t="shared" ref="C14:M14" si="3">SUM(C12:C13)</f>
        <v>19862.882069927397</v>
      </c>
      <c r="D14" s="83">
        <f t="shared" si="3"/>
        <v>28375.545814181998</v>
      </c>
      <c r="E14" s="83">
        <f t="shared" si="3"/>
        <v>34050.654977018399</v>
      </c>
      <c r="F14" s="83">
        <f t="shared" si="3"/>
        <v>36482.844618233998</v>
      </c>
      <c r="G14" s="83">
        <f t="shared" si="3"/>
        <v>44995.505524934008</v>
      </c>
      <c r="H14" s="83">
        <f t="shared" si="3"/>
        <v>48643.791608217172</v>
      </c>
      <c r="I14" s="83">
        <f t="shared" si="3"/>
        <v>48643.792824311997</v>
      </c>
      <c r="J14" s="83">
        <f t="shared" si="3"/>
        <v>48643.792824311997</v>
      </c>
      <c r="K14" s="83">
        <f t="shared" si="3"/>
        <v>48643.792824311997</v>
      </c>
      <c r="L14" s="83">
        <f t="shared" si="3"/>
        <v>51481.347405730208</v>
      </c>
      <c r="M14" s="83">
        <f t="shared" si="3"/>
        <v>58372.551389174398</v>
      </c>
      <c r="N14" s="39"/>
      <c r="O14" s="24"/>
    </row>
    <row r="15" spans="1:15">
      <c r="A15" s="240" t="s">
        <v>146</v>
      </c>
      <c r="B15" s="85"/>
      <c r="C15" s="86">
        <f>C9</f>
        <v>94585.152713939999</v>
      </c>
      <c r="D15" s="86">
        <f t="shared" ref="D15:M15" si="4">D9</f>
        <v>94585.152713939999</v>
      </c>
      <c r="E15" s="86">
        <f t="shared" si="4"/>
        <v>121609.48206078001</v>
      </c>
      <c r="F15" s="86">
        <f t="shared" si="4"/>
        <v>121609.48206078001</v>
      </c>
      <c r="G15" s="86">
        <f t="shared" si="4"/>
        <v>162145.96256887531</v>
      </c>
      <c r="H15" s="86">
        <f t="shared" si="4"/>
        <v>162145.97608104002</v>
      </c>
      <c r="I15" s="86">
        <f t="shared" si="4"/>
        <v>162145.97608104002</v>
      </c>
      <c r="J15" s="86">
        <f t="shared" si="4"/>
        <v>162145.97608104002</v>
      </c>
      <c r="K15" s="86">
        <f t="shared" si="4"/>
        <v>162145.97608104002</v>
      </c>
      <c r="L15" s="86">
        <f t="shared" si="4"/>
        <v>175658.14075446001</v>
      </c>
      <c r="M15" s="86">
        <f t="shared" si="4"/>
        <v>202682.47010130002</v>
      </c>
      <c r="N15" s="38"/>
    </row>
    <row r="16" spans="1:15">
      <c r="A16" s="79" t="s">
        <v>148</v>
      </c>
      <c r="B16" s="85">
        <f>C15*0.4</f>
        <v>37834.061085576002</v>
      </c>
      <c r="C16" s="85">
        <f>D15*0.4</f>
        <v>37834.061085576002</v>
      </c>
      <c r="D16" s="85">
        <f t="shared" ref="D16:L16" si="5">E15*0.4</f>
        <v>48643.792824312004</v>
      </c>
      <c r="E16" s="85">
        <f t="shared" si="5"/>
        <v>48643.792824312004</v>
      </c>
      <c r="F16" s="85">
        <f t="shared" si="5"/>
        <v>64858.385027550132</v>
      </c>
      <c r="G16" s="85">
        <f t="shared" si="5"/>
        <v>64858.39043241601</v>
      </c>
      <c r="H16" s="85">
        <f t="shared" si="5"/>
        <v>64858.39043241601</v>
      </c>
      <c r="I16" s="85">
        <f t="shared" si="5"/>
        <v>64858.39043241601</v>
      </c>
      <c r="J16" s="85">
        <f t="shared" si="5"/>
        <v>64858.39043241601</v>
      </c>
      <c r="K16" s="85">
        <f t="shared" si="5"/>
        <v>70263.256301784</v>
      </c>
      <c r="L16" s="85">
        <f t="shared" si="5"/>
        <v>81072.988040520009</v>
      </c>
      <c r="M16" s="85">
        <v>92356</v>
      </c>
      <c r="N16" s="156"/>
    </row>
    <row r="17" spans="1:14">
      <c r="A17" s="79" t="s">
        <v>147</v>
      </c>
      <c r="B17" s="85"/>
      <c r="C17" s="86">
        <f>C15*0.6</f>
        <v>56751.091628363996</v>
      </c>
      <c r="D17" s="86">
        <f t="shared" ref="D17:M17" si="6">D15*0.6</f>
        <v>56751.091628363996</v>
      </c>
      <c r="E17" s="86">
        <f t="shared" si="6"/>
        <v>72965.689236467995</v>
      </c>
      <c r="F17" s="86">
        <f t="shared" si="6"/>
        <v>72965.689236467995</v>
      </c>
      <c r="G17" s="86">
        <f t="shared" si="6"/>
        <v>97287.577541325183</v>
      </c>
      <c r="H17" s="86">
        <f t="shared" si="6"/>
        <v>97287.585648624008</v>
      </c>
      <c r="I17" s="86">
        <f t="shared" si="6"/>
        <v>97287.585648624008</v>
      </c>
      <c r="J17" s="86">
        <f t="shared" si="6"/>
        <v>97287.585648624008</v>
      </c>
      <c r="K17" s="86">
        <f t="shared" si="6"/>
        <v>97287.585648624008</v>
      </c>
      <c r="L17" s="86">
        <f t="shared" si="6"/>
        <v>105394.88445267601</v>
      </c>
      <c r="M17" s="86">
        <f t="shared" si="6"/>
        <v>121609.48206078001</v>
      </c>
      <c r="N17" s="40"/>
    </row>
    <row r="18" spans="1:14">
      <c r="A18" s="79" t="s">
        <v>149</v>
      </c>
      <c r="B18" s="85">
        <f>B15+B16-B17</f>
        <v>37834.061085576002</v>
      </c>
      <c r="C18" s="85">
        <f>C15+C16-C17</f>
        <v>75668.122171152005</v>
      </c>
      <c r="D18" s="85">
        <f>D15+D16-D17</f>
        <v>86477.853909888014</v>
      </c>
      <c r="E18" s="85">
        <f t="shared" ref="E18:M18" si="7">E15+E16-E17</f>
        <v>97287.585648624023</v>
      </c>
      <c r="F18" s="85">
        <f t="shared" si="7"/>
        <v>113502.17785186216</v>
      </c>
      <c r="G18" s="85">
        <f t="shared" si="7"/>
        <v>129716.77545996616</v>
      </c>
      <c r="H18" s="85">
        <f t="shared" si="7"/>
        <v>129716.78086483204</v>
      </c>
      <c r="I18" s="85">
        <f t="shared" si="7"/>
        <v>129716.78086483204</v>
      </c>
      <c r="J18" s="85">
        <f t="shared" si="7"/>
        <v>129716.78086483204</v>
      </c>
      <c r="K18" s="85">
        <f t="shared" si="7"/>
        <v>135121.64673420001</v>
      </c>
      <c r="L18" s="85">
        <f t="shared" si="7"/>
        <v>151336.24434230401</v>
      </c>
      <c r="M18" s="85">
        <f t="shared" si="7"/>
        <v>173428.98804052005</v>
      </c>
      <c r="N18" s="41"/>
    </row>
    <row r="19" spans="1:14">
      <c r="A19" s="408" t="s">
        <v>291</v>
      </c>
      <c r="B19" s="408"/>
      <c r="C19" s="408"/>
      <c r="D19" s="408"/>
      <c r="E19" s="408"/>
      <c r="F19" s="408"/>
      <c r="G19" s="408"/>
      <c r="H19" s="408"/>
      <c r="I19" s="408"/>
      <c r="J19" s="408"/>
      <c r="K19" s="408"/>
      <c r="L19" s="408"/>
      <c r="M19" s="408"/>
      <c r="N19" s="39"/>
    </row>
    <row r="20" spans="1:14">
      <c r="A20" s="240" t="s">
        <v>150</v>
      </c>
      <c r="B20" s="410"/>
      <c r="C20" s="411"/>
      <c r="D20" s="411"/>
      <c r="E20" s="411"/>
      <c r="F20" s="411"/>
      <c r="G20" s="411"/>
      <c r="H20" s="411"/>
      <c r="I20" s="411"/>
      <c r="J20" s="411"/>
      <c r="K20" s="411"/>
      <c r="L20" s="411"/>
      <c r="M20" s="412"/>
      <c r="N20" s="39"/>
    </row>
    <row r="21" spans="1:14">
      <c r="A21" s="77" t="s">
        <v>151</v>
      </c>
      <c r="B21" s="413"/>
      <c r="C21" s="414"/>
      <c r="D21" s="414"/>
      <c r="E21" s="414"/>
      <c r="F21" s="414"/>
      <c r="G21" s="414"/>
      <c r="H21" s="414"/>
      <c r="I21" s="414"/>
      <c r="J21" s="414"/>
      <c r="K21" s="414"/>
      <c r="L21" s="414"/>
      <c r="M21" s="415"/>
      <c r="N21" s="39"/>
    </row>
    <row r="22" spans="1:14" s="32" customFormat="1">
      <c r="A22" s="11" t="s">
        <v>275</v>
      </c>
      <c r="B22" s="157">
        <f>B18*'cf y cv'!$D$38</f>
        <v>345.77345289844573</v>
      </c>
      <c r="C22" s="157">
        <f>C18*'cf y cv'!$D$38</f>
        <v>691.54690579689145</v>
      </c>
      <c r="D22" s="157">
        <f>D18*'cf y cv'!$D$38</f>
        <v>790.33932091073314</v>
      </c>
      <c r="E22" s="157">
        <f>E18*'cf y cv'!$D$38</f>
        <v>889.13173602457493</v>
      </c>
      <c r="F22" s="157">
        <f>F18*'cf y cv'!$D$38</f>
        <v>1037.3203092991298</v>
      </c>
      <c r="G22" s="157">
        <f>G18*'cf y cv'!$D$38</f>
        <v>1185.5089319698923</v>
      </c>
      <c r="H22" s="157">
        <f>H18*'cf y cv'!$D$38</f>
        <v>1185.5089813661</v>
      </c>
      <c r="I22" s="157">
        <f>I18*'cf y cv'!$D$38</f>
        <v>1185.5089813661</v>
      </c>
      <c r="J22" s="157">
        <f>J18*'cf y cv'!$D$38</f>
        <v>1185.5089813661</v>
      </c>
      <c r="K22" s="157">
        <f>K18*'cf y cv'!$D$38</f>
        <v>1234.9051889230204</v>
      </c>
      <c r="L22" s="157">
        <f>L18*'cf y cv'!$D$38</f>
        <v>1383.0938115937829</v>
      </c>
      <c r="M22" s="83">
        <f>M18*'cf y cv'!$D$38</f>
        <v>1585.0040494414691</v>
      </c>
      <c r="N22" s="39"/>
    </row>
    <row r="23" spans="1:14" s="32" customFormat="1">
      <c r="A23" s="11" t="s">
        <v>279</v>
      </c>
      <c r="B23" s="157">
        <f>B18*'cf y cv'!$D$39</f>
        <v>636.95109744450519</v>
      </c>
      <c r="C23" s="157">
        <f>C18*'cf y cv'!$D$39</f>
        <v>1273.9021948890104</v>
      </c>
      <c r="D23" s="157">
        <f>D18*'cf y cv'!$D$39</f>
        <v>1455.8882227302977</v>
      </c>
      <c r="E23" s="157">
        <f>E18*'cf y cv'!$D$39</f>
        <v>1637.8742505715852</v>
      </c>
      <c r="F23" s="157">
        <f>F18*'cf y cv'!$D$39</f>
        <v>1910.853201340502</v>
      </c>
      <c r="G23" s="157">
        <f>G18*'cf y cv'!$D$39</f>
        <v>2183.832243102433</v>
      </c>
      <c r="H23" s="157">
        <f>H18*'cf y cv'!$D$39</f>
        <v>2183.8323340954471</v>
      </c>
      <c r="I23" s="157">
        <f>I18*'cf y cv'!$D$39</f>
        <v>2183.8323340954471</v>
      </c>
      <c r="J23" s="157">
        <f>J18*'cf y cv'!$D$39</f>
        <v>2183.8323340954471</v>
      </c>
      <c r="K23" s="157">
        <f>K18*'cf y cv'!$D$39</f>
        <v>2274.8253480160902</v>
      </c>
      <c r="L23" s="157">
        <f>L18*'cf y cv'!$D$39</f>
        <v>2547.8043897780208</v>
      </c>
      <c r="M23" s="83">
        <f>M18*'cf y cv'!$D$39</f>
        <v>2919.7443016027059</v>
      </c>
      <c r="N23" s="39"/>
    </row>
    <row r="24" spans="1:14" s="32" customFormat="1">
      <c r="A24" s="11" t="s">
        <v>280</v>
      </c>
      <c r="B24" s="157">
        <f>B18*'cf y cv'!$D$40</f>
        <v>363.97205568257442</v>
      </c>
      <c r="C24" s="157">
        <f>C18*'cf y cv'!$D$40</f>
        <v>727.94411136514884</v>
      </c>
      <c r="D24" s="157">
        <f>D18*'cf y cv'!$D$40</f>
        <v>831.93612727445588</v>
      </c>
      <c r="E24" s="157">
        <f>E18*'cf y cv'!$D$40</f>
        <v>935.92814318376293</v>
      </c>
      <c r="F24" s="157">
        <f>F18*'cf y cv'!$D$40</f>
        <v>1091.9161150517155</v>
      </c>
      <c r="G24" s="157">
        <f>G18*'cf y cv'!$D$40</f>
        <v>1247.904138915676</v>
      </c>
      <c r="H24" s="157">
        <f>H18*'cf y cv'!$D$40</f>
        <v>1247.9041909116841</v>
      </c>
      <c r="I24" s="157">
        <f>I18*'cf y cv'!$D$40</f>
        <v>1247.9041909116841</v>
      </c>
      <c r="J24" s="157">
        <f>J18*'cf y cv'!$D$40</f>
        <v>1247.9041909116841</v>
      </c>
      <c r="K24" s="157">
        <f>K18*'cf y cv'!$D$40</f>
        <v>1299.9001988663372</v>
      </c>
      <c r="L24" s="157">
        <f>L18*'cf y cv'!$D$40</f>
        <v>1455.8882227302977</v>
      </c>
      <c r="M24" s="83">
        <f>M18*'cf y cv'!$D$40</f>
        <v>1668.4253152015463</v>
      </c>
      <c r="N24" s="39"/>
    </row>
    <row r="25" spans="1:14">
      <c r="A25" s="11" t="s">
        <v>281</v>
      </c>
      <c r="B25" s="83">
        <f>B18*'cf y cv'!$D$41</f>
        <v>250.23078828176992</v>
      </c>
      <c r="C25" s="83">
        <f>C18*'cf y cv'!$D$41</f>
        <v>500.46157656353984</v>
      </c>
      <c r="D25" s="83">
        <f>D18*'cf y cv'!$D$41</f>
        <v>571.95608750118845</v>
      </c>
      <c r="E25" s="83">
        <f>E18*'cf y cv'!$D$41</f>
        <v>643.45059843883701</v>
      </c>
      <c r="F25" s="83">
        <f>F18*'cf y cv'!$D$41</f>
        <v>750.69232909805442</v>
      </c>
      <c r="G25" s="83">
        <f>G18*'cf y cv'!$D$41</f>
        <v>857.93409550452725</v>
      </c>
      <c r="H25" s="83">
        <f>H18*'cf y cv'!$D$41</f>
        <v>857.93413125178279</v>
      </c>
      <c r="I25" s="83">
        <f>I18*'cf y cv'!$D$41</f>
        <v>857.93413125178279</v>
      </c>
      <c r="J25" s="83">
        <f>J18*'cf y cv'!$D$41</f>
        <v>857.93413125178279</v>
      </c>
      <c r="K25" s="83">
        <f>K18*'cf y cv'!$D$41</f>
        <v>893.68138672060684</v>
      </c>
      <c r="L25" s="83">
        <f>L18*'cf y cv'!$D$41</f>
        <v>1000.9231531270797</v>
      </c>
      <c r="M25" s="83">
        <f>M18*'cf y cv'!$D$41</f>
        <v>1147.0424042010632</v>
      </c>
      <c r="N25" s="39"/>
    </row>
    <row r="26" spans="1:14">
      <c r="A26" s="11" t="s">
        <v>112</v>
      </c>
      <c r="B26" s="83">
        <f>B18*'cf y cv'!$D$42</f>
        <v>1176</v>
      </c>
      <c r="C26" s="83">
        <f>C18*'cf y cv'!$D$42</f>
        <v>2352</v>
      </c>
      <c r="D26" s="83">
        <f>D18*'cf y cv'!$D$42</f>
        <v>2688.0000000000005</v>
      </c>
      <c r="E26" s="83">
        <f>E18*'cf y cv'!$D$42</f>
        <v>3024.0000000000009</v>
      </c>
      <c r="F26" s="83">
        <f>F18*'cf y cv'!$D$42</f>
        <v>3527.9998320000009</v>
      </c>
      <c r="G26" s="83">
        <f>G18*'cf y cv'!$D$42</f>
        <v>4031.9998320000009</v>
      </c>
      <c r="H26" s="83">
        <f>H18*'cf y cv'!$D$42</f>
        <v>4032.0000000000009</v>
      </c>
      <c r="I26" s="83">
        <f>I18*'cf y cv'!$D$42</f>
        <v>4032.0000000000009</v>
      </c>
      <c r="J26" s="83">
        <f>J18*'cf y cv'!$D$42</f>
        <v>4032.0000000000009</v>
      </c>
      <c r="K26" s="83">
        <f>K18*'cf y cv'!$D$42</f>
        <v>4200</v>
      </c>
      <c r="L26" s="83">
        <f>L18*'cf y cv'!$D$42</f>
        <v>4704</v>
      </c>
      <c r="M26" s="83">
        <f>M18*'cf y cv'!$D$42</f>
        <v>5390.7110176286942</v>
      </c>
      <c r="N26" s="39"/>
    </row>
    <row r="27" spans="1:14">
      <c r="A27" s="11" t="s">
        <v>287</v>
      </c>
      <c r="B27" s="83">
        <f>B18*'cf y cv'!$D$43</f>
        <v>37.834061085576003</v>
      </c>
      <c r="C27" s="83">
        <f>C18*'cf y cv'!$D$43</f>
        <v>75.668122171152007</v>
      </c>
      <c r="D27" s="83">
        <f>D18*'cf y cv'!$D$43</f>
        <v>86.477853909888012</v>
      </c>
      <c r="E27" s="83">
        <f>E18*'cf y cv'!$D$43</f>
        <v>97.287585648624031</v>
      </c>
      <c r="F27" s="83">
        <f>F18*'cf y cv'!$D$43</f>
        <v>113.50217785186216</v>
      </c>
      <c r="G27" s="83">
        <f>G18*'cf y cv'!$D$43</f>
        <v>129.71677545996616</v>
      </c>
      <c r="H27" s="83">
        <f>H18*'cf y cv'!$D$43</f>
        <v>129.71678086483203</v>
      </c>
      <c r="I27" s="83">
        <f>I18*'cf y cv'!$D$43</f>
        <v>129.71678086483203</v>
      </c>
      <c r="J27" s="83">
        <f>J18*'cf y cv'!$D$43</f>
        <v>129.71678086483203</v>
      </c>
      <c r="K27" s="83">
        <f>K18*'cf y cv'!$D$43</f>
        <v>135.12164673420003</v>
      </c>
      <c r="L27" s="83">
        <f>L18*'cf y cv'!$D$43</f>
        <v>151.33624434230401</v>
      </c>
      <c r="M27" s="83">
        <f>M18*'cf y cv'!$D$43</f>
        <v>173.42898804052007</v>
      </c>
      <c r="N27" s="39"/>
    </row>
    <row r="28" spans="1:14">
      <c r="A28" s="240" t="s">
        <v>152</v>
      </c>
      <c r="B28" s="88">
        <f t="shared" ref="B28:M28" si="8">SUM(B22:B27)</f>
        <v>2810.7614553928715</v>
      </c>
      <c r="C28" s="88">
        <f t="shared" si="8"/>
        <v>5621.5229107857431</v>
      </c>
      <c r="D28" s="88">
        <f t="shared" si="8"/>
        <v>6424.5976123265636</v>
      </c>
      <c r="E28" s="88">
        <f t="shared" si="8"/>
        <v>7227.6723138673851</v>
      </c>
      <c r="F28" s="88">
        <f t="shared" si="8"/>
        <v>8432.2839646412649</v>
      </c>
      <c r="G28" s="88">
        <f t="shared" si="8"/>
        <v>9636.8960169524962</v>
      </c>
      <c r="H28" s="88">
        <f t="shared" si="8"/>
        <v>9636.8964184898468</v>
      </c>
      <c r="I28" s="88">
        <f t="shared" si="8"/>
        <v>9636.8964184898468</v>
      </c>
      <c r="J28" s="88">
        <f t="shared" si="8"/>
        <v>9636.8964184898468</v>
      </c>
      <c r="K28" s="88">
        <f t="shared" si="8"/>
        <v>10038.433769260255</v>
      </c>
      <c r="L28" s="88">
        <f t="shared" si="8"/>
        <v>11243.045821571486</v>
      </c>
      <c r="M28" s="88">
        <f t="shared" si="8"/>
        <v>12884.356076115997</v>
      </c>
      <c r="N28" s="39"/>
    </row>
    <row r="29" spans="1:14">
      <c r="A29" s="240" t="s">
        <v>64</v>
      </c>
      <c r="B29" s="413"/>
      <c r="C29" s="414"/>
      <c r="D29" s="414"/>
      <c r="E29" s="414"/>
      <c r="F29" s="414"/>
      <c r="G29" s="414"/>
      <c r="H29" s="414"/>
      <c r="I29" s="414"/>
      <c r="J29" s="414"/>
      <c r="K29" s="414"/>
      <c r="L29" s="414"/>
      <c r="M29" s="415"/>
      <c r="N29" s="39"/>
    </row>
    <row r="30" spans="1:14">
      <c r="A30" s="87" t="s">
        <v>65</v>
      </c>
      <c r="B30" s="89">
        <f>'cf y cv'!$B$6</f>
        <v>600</v>
      </c>
      <c r="C30" s="89">
        <f>'cf y cv'!$B$6</f>
        <v>600</v>
      </c>
      <c r="D30" s="89">
        <f>'cf y cv'!$B$6</f>
        <v>600</v>
      </c>
      <c r="E30" s="89">
        <f>'cf y cv'!$B$6</f>
        <v>600</v>
      </c>
      <c r="F30" s="89">
        <f>'cf y cv'!$B$6</f>
        <v>600</v>
      </c>
      <c r="G30" s="89">
        <f>'cf y cv'!$B$6</f>
        <v>600</v>
      </c>
      <c r="H30" s="89">
        <f>'cf y cv'!$B$6</f>
        <v>600</v>
      </c>
      <c r="I30" s="89">
        <f>'cf y cv'!$B$6</f>
        <v>600</v>
      </c>
      <c r="J30" s="89">
        <f>'cf y cv'!$B$6</f>
        <v>600</v>
      </c>
      <c r="K30" s="89">
        <f>'cf y cv'!$B$6</f>
        <v>600</v>
      </c>
      <c r="L30" s="89">
        <f>'cf y cv'!$B$6</f>
        <v>600</v>
      </c>
      <c r="M30" s="89">
        <f>'cf y cv'!$B$6</f>
        <v>600</v>
      </c>
      <c r="N30" s="39"/>
    </row>
    <row r="31" spans="1:14">
      <c r="A31" s="87" t="s">
        <v>76</v>
      </c>
      <c r="B31" s="89">
        <f>'cf y cv'!$B$7</f>
        <v>10307.499999999998</v>
      </c>
      <c r="C31" s="89">
        <f>'cf y cv'!$B$7</f>
        <v>10307.499999999998</v>
      </c>
      <c r="D31" s="89">
        <f>'cf y cv'!$B$7</f>
        <v>10307.499999999998</v>
      </c>
      <c r="E31" s="89">
        <f>'cf y cv'!$B$7</f>
        <v>10307.499999999998</v>
      </c>
      <c r="F31" s="89">
        <f>'cf y cv'!$B$7</f>
        <v>10307.499999999998</v>
      </c>
      <c r="G31" s="89">
        <f>'cf y cv'!$B$7</f>
        <v>10307.499999999998</v>
      </c>
      <c r="H31" s="89">
        <f>'cf y cv'!$B$7</f>
        <v>10307.499999999998</v>
      </c>
      <c r="I31" s="89">
        <f>'cf y cv'!$B$7</f>
        <v>10307.499999999998</v>
      </c>
      <c r="J31" s="89">
        <f>'cf y cv'!$B$7</f>
        <v>10307.499999999998</v>
      </c>
      <c r="K31" s="89">
        <f>'cf y cv'!$B$7</f>
        <v>10307.499999999998</v>
      </c>
      <c r="L31" s="89">
        <f>'cf y cv'!$B$7</f>
        <v>10307.499999999998</v>
      </c>
      <c r="M31" s="89">
        <f>'cf y cv'!$B$7</f>
        <v>10307.499999999998</v>
      </c>
      <c r="N31" s="39"/>
    </row>
    <row r="32" spans="1:14">
      <c r="A32" s="87" t="s">
        <v>66</v>
      </c>
      <c r="B32" s="89">
        <f>'cf y cv'!$B$8</f>
        <v>350</v>
      </c>
      <c r="C32" s="89">
        <f>'cf y cv'!$B$8</f>
        <v>350</v>
      </c>
      <c r="D32" s="89">
        <f>'cf y cv'!$B$8</f>
        <v>350</v>
      </c>
      <c r="E32" s="89">
        <f>'cf y cv'!$B$8</f>
        <v>350</v>
      </c>
      <c r="F32" s="89">
        <f>'cf y cv'!$B$8</f>
        <v>350</v>
      </c>
      <c r="G32" s="89">
        <f>'cf y cv'!$B$8</f>
        <v>350</v>
      </c>
      <c r="H32" s="89">
        <f>'cf y cv'!$B$8</f>
        <v>350</v>
      </c>
      <c r="I32" s="89">
        <f>'cf y cv'!$B$8</f>
        <v>350</v>
      </c>
      <c r="J32" s="89">
        <f>'cf y cv'!$B$8</f>
        <v>350</v>
      </c>
      <c r="K32" s="89">
        <f>'cf y cv'!$B$8</f>
        <v>350</v>
      </c>
      <c r="L32" s="89">
        <f>'cf y cv'!$B$8</f>
        <v>350</v>
      </c>
      <c r="M32" s="89">
        <f>'cf y cv'!$B$8</f>
        <v>350</v>
      </c>
      <c r="N32" s="39"/>
    </row>
    <row r="33" spans="1:14">
      <c r="A33" s="87" t="s">
        <v>77</v>
      </c>
      <c r="B33" s="89">
        <f>'cf y cv'!$B$9</f>
        <v>750</v>
      </c>
      <c r="C33" s="89">
        <f>'cf y cv'!$B$9</f>
        <v>750</v>
      </c>
      <c r="D33" s="89">
        <f>'cf y cv'!$B$9</f>
        <v>750</v>
      </c>
      <c r="E33" s="89">
        <f>'cf y cv'!$B$9</f>
        <v>750</v>
      </c>
      <c r="F33" s="89">
        <f>'cf y cv'!$B$9</f>
        <v>750</v>
      </c>
      <c r="G33" s="89">
        <f>'cf y cv'!$B$9</f>
        <v>750</v>
      </c>
      <c r="H33" s="89">
        <f>'cf y cv'!$B$9</f>
        <v>750</v>
      </c>
      <c r="I33" s="89">
        <f>'cf y cv'!$B$9</f>
        <v>750</v>
      </c>
      <c r="J33" s="89">
        <f>'cf y cv'!$B$9</f>
        <v>750</v>
      </c>
      <c r="K33" s="89">
        <f>'cf y cv'!$B$9</f>
        <v>750</v>
      </c>
      <c r="L33" s="89">
        <f>'cf y cv'!$B$9</f>
        <v>750</v>
      </c>
      <c r="M33" s="89">
        <f>'cf y cv'!$B$9</f>
        <v>750</v>
      </c>
      <c r="N33" s="39"/>
    </row>
    <row r="34" spans="1:14">
      <c r="A34" s="87" t="s">
        <v>67</v>
      </c>
      <c r="B34" s="89">
        <f>'cf y cv'!$B$10</f>
        <v>300</v>
      </c>
      <c r="C34" s="89">
        <f>'cf y cv'!$B$10</f>
        <v>300</v>
      </c>
      <c r="D34" s="89">
        <f>'cf y cv'!$B$10</f>
        <v>300</v>
      </c>
      <c r="E34" s="89">
        <f>'cf y cv'!$B$10</f>
        <v>300</v>
      </c>
      <c r="F34" s="89">
        <f>'cf y cv'!$B$10</f>
        <v>300</v>
      </c>
      <c r="G34" s="89">
        <f>'cf y cv'!$B$10</f>
        <v>300</v>
      </c>
      <c r="H34" s="89">
        <f>'cf y cv'!$B$10</f>
        <v>300</v>
      </c>
      <c r="I34" s="89">
        <f>'cf y cv'!$B$10</f>
        <v>300</v>
      </c>
      <c r="J34" s="89">
        <f>'cf y cv'!$B$10</f>
        <v>300</v>
      </c>
      <c r="K34" s="89">
        <f>'cf y cv'!$B$10</f>
        <v>300</v>
      </c>
      <c r="L34" s="89">
        <f>'cf y cv'!$B$10</f>
        <v>300</v>
      </c>
      <c r="M34" s="89">
        <f>'cf y cv'!$B$10</f>
        <v>300</v>
      </c>
    </row>
    <row r="35" spans="1:14">
      <c r="A35" s="87" t="s">
        <v>69</v>
      </c>
      <c r="B35" s="89">
        <f>'cf y cv'!$B$11</f>
        <v>650</v>
      </c>
      <c r="C35" s="89">
        <f>'cf y cv'!$B$11</f>
        <v>650</v>
      </c>
      <c r="D35" s="89">
        <f>'cf y cv'!$B$11</f>
        <v>650</v>
      </c>
      <c r="E35" s="89">
        <f>'cf y cv'!$B$11</f>
        <v>650</v>
      </c>
      <c r="F35" s="89">
        <f>'cf y cv'!$B$11</f>
        <v>650</v>
      </c>
      <c r="G35" s="89">
        <f>'cf y cv'!$B$11</f>
        <v>650</v>
      </c>
      <c r="H35" s="89">
        <f>'cf y cv'!$B$11</f>
        <v>650</v>
      </c>
      <c r="I35" s="89">
        <f>'cf y cv'!$B$11</f>
        <v>650</v>
      </c>
      <c r="J35" s="89">
        <f>'cf y cv'!$B$11</f>
        <v>650</v>
      </c>
      <c r="K35" s="89">
        <f>'cf y cv'!$B$11</f>
        <v>650</v>
      </c>
      <c r="L35" s="89">
        <f>'cf y cv'!$B$11</f>
        <v>650</v>
      </c>
      <c r="M35" s="89">
        <f>'cf y cv'!$B$11</f>
        <v>650</v>
      </c>
    </row>
    <row r="36" spans="1:14">
      <c r="A36" s="87" t="s">
        <v>68</v>
      </c>
      <c r="B36" s="89">
        <f>'cf y cv'!$B$12</f>
        <v>800</v>
      </c>
      <c r="C36" s="89">
        <f>'cf y cv'!$B$12</f>
        <v>800</v>
      </c>
      <c r="D36" s="89">
        <f>'cf y cv'!$B$12</f>
        <v>800</v>
      </c>
      <c r="E36" s="89">
        <f>'cf y cv'!$B$12</f>
        <v>800</v>
      </c>
      <c r="F36" s="89">
        <f>'cf y cv'!$B$12</f>
        <v>800</v>
      </c>
      <c r="G36" s="89">
        <f>'cf y cv'!$B$12</f>
        <v>800</v>
      </c>
      <c r="H36" s="89">
        <f>'cf y cv'!$B$12</f>
        <v>800</v>
      </c>
      <c r="I36" s="89">
        <f>'cf y cv'!$B$12</f>
        <v>800</v>
      </c>
      <c r="J36" s="89">
        <f>'cf y cv'!$B$12</f>
        <v>800</v>
      </c>
      <c r="K36" s="89">
        <f>'cf y cv'!$B$12</f>
        <v>800</v>
      </c>
      <c r="L36" s="89">
        <f>'cf y cv'!$B$12</f>
        <v>800</v>
      </c>
      <c r="M36" s="89">
        <f>'cf y cv'!$B$12</f>
        <v>800</v>
      </c>
    </row>
    <row r="37" spans="1:14">
      <c r="A37" s="87" t="s">
        <v>242</v>
      </c>
      <c r="B37" s="89">
        <f>'cf y cv'!$B$13</f>
        <v>900</v>
      </c>
      <c r="C37" s="89">
        <f>'cf y cv'!$B$13</f>
        <v>900</v>
      </c>
      <c r="D37" s="89">
        <f>'cf y cv'!$B$13</f>
        <v>900</v>
      </c>
      <c r="E37" s="89">
        <f>'cf y cv'!$B$13</f>
        <v>900</v>
      </c>
      <c r="F37" s="89">
        <f>'cf y cv'!$B$13</f>
        <v>900</v>
      </c>
      <c r="G37" s="89">
        <f>'cf y cv'!$B$13</f>
        <v>900</v>
      </c>
      <c r="H37" s="89">
        <f>'cf y cv'!$B$13</f>
        <v>900</v>
      </c>
      <c r="I37" s="89">
        <f>'cf y cv'!$B$13</f>
        <v>900</v>
      </c>
      <c r="J37" s="89">
        <f>'cf y cv'!$B$13</f>
        <v>900</v>
      </c>
      <c r="K37" s="89">
        <f>'cf y cv'!$B$13</f>
        <v>900</v>
      </c>
      <c r="L37" s="89">
        <f>'cf y cv'!$B$13</f>
        <v>900</v>
      </c>
      <c r="M37" s="89">
        <f>'cf y cv'!$B$13</f>
        <v>900</v>
      </c>
    </row>
    <row r="38" spans="1:14">
      <c r="A38" s="87" t="s">
        <v>70</v>
      </c>
      <c r="B38" s="89">
        <f>'cf y cv'!$B$14</f>
        <v>10500</v>
      </c>
      <c r="C38" s="89">
        <f>'cf y cv'!$B$14</f>
        <v>10500</v>
      </c>
      <c r="D38" s="89">
        <f>'cf y cv'!$B$14</f>
        <v>10500</v>
      </c>
      <c r="E38" s="89">
        <f>'cf y cv'!$B$14</f>
        <v>10500</v>
      </c>
      <c r="F38" s="89">
        <f>'cf y cv'!$B$14</f>
        <v>10500</v>
      </c>
      <c r="G38" s="89">
        <f>'cf y cv'!$B$14</f>
        <v>10500</v>
      </c>
      <c r="H38" s="89">
        <f>'cf y cv'!$B$14</f>
        <v>10500</v>
      </c>
      <c r="I38" s="89">
        <f>'cf y cv'!$B$14</f>
        <v>10500</v>
      </c>
      <c r="J38" s="89">
        <f>'cf y cv'!$B$14</f>
        <v>10500</v>
      </c>
      <c r="K38" s="89">
        <f>'cf y cv'!$B$14</f>
        <v>10500</v>
      </c>
      <c r="L38" s="89">
        <f>'cf y cv'!$B$14</f>
        <v>10500</v>
      </c>
      <c r="M38" s="89">
        <f>'cf y cv'!$B$14</f>
        <v>10500</v>
      </c>
    </row>
    <row r="39" spans="1:14">
      <c r="A39" s="240" t="s">
        <v>155</v>
      </c>
      <c r="B39" s="88">
        <f>SUM(B30:B38)</f>
        <v>25157.5</v>
      </c>
      <c r="C39" s="88">
        <f t="shared" ref="C39:M39" si="9">SUM(C30:C38)</f>
        <v>25157.5</v>
      </c>
      <c r="D39" s="88">
        <f t="shared" si="9"/>
        <v>25157.5</v>
      </c>
      <c r="E39" s="88">
        <f t="shared" si="9"/>
        <v>25157.5</v>
      </c>
      <c r="F39" s="88">
        <f t="shared" si="9"/>
        <v>25157.5</v>
      </c>
      <c r="G39" s="88">
        <f t="shared" si="9"/>
        <v>25157.5</v>
      </c>
      <c r="H39" s="88">
        <f t="shared" si="9"/>
        <v>25157.5</v>
      </c>
      <c r="I39" s="88">
        <f t="shared" si="9"/>
        <v>25157.5</v>
      </c>
      <c r="J39" s="88">
        <f t="shared" si="9"/>
        <v>25157.5</v>
      </c>
      <c r="K39" s="88">
        <f t="shared" si="9"/>
        <v>25157.5</v>
      </c>
      <c r="L39" s="88">
        <f t="shared" si="9"/>
        <v>25157.5</v>
      </c>
      <c r="M39" s="88">
        <f t="shared" si="9"/>
        <v>25157.5</v>
      </c>
      <c r="N39" s="39">
        <f>SUM(B39:M39)</f>
        <v>301890</v>
      </c>
    </row>
    <row r="40" spans="1:14">
      <c r="A40" s="240" t="s">
        <v>156</v>
      </c>
      <c r="B40" s="88">
        <f>B28+B39</f>
        <v>27968.261455392872</v>
      </c>
      <c r="C40" s="88">
        <f t="shared" ref="C40:M40" si="10">C28+C39</f>
        <v>30779.022910785745</v>
      </c>
      <c r="D40" s="88">
        <f t="shared" si="10"/>
        <v>31582.097612326565</v>
      </c>
      <c r="E40" s="88">
        <f t="shared" si="10"/>
        <v>32385.172313867384</v>
      </c>
      <c r="F40" s="88">
        <f t="shared" si="10"/>
        <v>33589.783964641261</v>
      </c>
      <c r="G40" s="88">
        <f t="shared" si="10"/>
        <v>34794.396016952494</v>
      </c>
      <c r="H40" s="88">
        <f t="shared" si="10"/>
        <v>34794.39641848985</v>
      </c>
      <c r="I40" s="88">
        <f t="shared" si="10"/>
        <v>34794.39641848985</v>
      </c>
      <c r="J40" s="88">
        <f t="shared" si="10"/>
        <v>34794.39641848985</v>
      </c>
      <c r="K40" s="88">
        <f t="shared" si="10"/>
        <v>35195.933769260257</v>
      </c>
      <c r="L40" s="88">
        <f t="shared" si="10"/>
        <v>36400.54582157149</v>
      </c>
      <c r="M40" s="88">
        <f t="shared" si="10"/>
        <v>38041.856076115997</v>
      </c>
    </row>
    <row r="41" spans="1:14" s="32" customFormat="1">
      <c r="A41" s="126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27"/>
    </row>
    <row r="42" spans="1:14">
      <c r="A42" s="2"/>
      <c r="B42" s="63" t="s">
        <v>129</v>
      </c>
      <c r="C42" s="73" t="s">
        <v>130</v>
      </c>
      <c r="D42" s="63" t="s">
        <v>131</v>
      </c>
      <c r="E42" s="73" t="s">
        <v>132</v>
      </c>
      <c r="F42" s="63" t="s">
        <v>133</v>
      </c>
      <c r="G42" s="73" t="s">
        <v>134</v>
      </c>
      <c r="H42" s="63" t="s">
        <v>135</v>
      </c>
      <c r="I42" s="73" t="s">
        <v>136</v>
      </c>
      <c r="J42" s="63" t="s">
        <v>137</v>
      </c>
      <c r="K42" s="73" t="s">
        <v>138</v>
      </c>
      <c r="L42" s="63" t="s">
        <v>139</v>
      </c>
      <c r="M42" s="73" t="s">
        <v>140</v>
      </c>
    </row>
    <row r="43" spans="1:14">
      <c r="A43" s="2" t="s">
        <v>143</v>
      </c>
      <c r="B43" s="4"/>
      <c r="C43" s="72">
        <f>C14</f>
        <v>19862.882069927397</v>
      </c>
      <c r="D43" s="72">
        <f t="shared" ref="D43:M43" si="11">D14</f>
        <v>28375.545814181998</v>
      </c>
      <c r="E43" s="72">
        <f t="shared" si="11"/>
        <v>34050.654977018399</v>
      </c>
      <c r="F43" s="72">
        <f t="shared" si="11"/>
        <v>36482.844618233998</v>
      </c>
      <c r="G43" s="72">
        <f t="shared" si="11"/>
        <v>44995.505524934008</v>
      </c>
      <c r="H43" s="72">
        <f t="shared" si="11"/>
        <v>48643.791608217172</v>
      </c>
      <c r="I43" s="72">
        <f t="shared" si="11"/>
        <v>48643.792824311997</v>
      </c>
      <c r="J43" s="72">
        <f t="shared" si="11"/>
        <v>48643.792824311997</v>
      </c>
      <c r="K43" s="72">
        <f t="shared" si="11"/>
        <v>48643.792824311997</v>
      </c>
      <c r="L43" s="72">
        <f t="shared" si="11"/>
        <v>51481.347405730208</v>
      </c>
      <c r="M43" s="72">
        <f t="shared" si="11"/>
        <v>58372.551389174398</v>
      </c>
    </row>
    <row r="44" spans="1:14">
      <c r="A44" s="2" t="s">
        <v>156</v>
      </c>
      <c r="B44" s="4">
        <f>B40</f>
        <v>27968.261455392872</v>
      </c>
      <c r="C44" s="4">
        <f t="shared" ref="C44:M44" si="12">C40</f>
        <v>30779.022910785745</v>
      </c>
      <c r="D44" s="4">
        <f t="shared" si="12"/>
        <v>31582.097612326565</v>
      </c>
      <c r="E44" s="4">
        <f t="shared" si="12"/>
        <v>32385.172313867384</v>
      </c>
      <c r="F44" s="4">
        <f t="shared" si="12"/>
        <v>33589.783964641261</v>
      </c>
      <c r="G44" s="4">
        <f t="shared" si="12"/>
        <v>34794.396016952494</v>
      </c>
      <c r="H44" s="4">
        <f t="shared" si="12"/>
        <v>34794.39641848985</v>
      </c>
      <c r="I44" s="4">
        <f t="shared" si="12"/>
        <v>34794.39641848985</v>
      </c>
      <c r="J44" s="4">
        <f t="shared" si="12"/>
        <v>34794.39641848985</v>
      </c>
      <c r="K44" s="4">
        <f t="shared" si="12"/>
        <v>35195.933769260257</v>
      </c>
      <c r="L44" s="4">
        <f t="shared" si="12"/>
        <v>36400.54582157149</v>
      </c>
      <c r="M44" s="4">
        <f t="shared" si="12"/>
        <v>38041.856076115997</v>
      </c>
    </row>
    <row r="45" spans="1:14">
      <c r="A45" s="2" t="s">
        <v>157</v>
      </c>
      <c r="B45" s="4">
        <f>B43-B44</f>
        <v>-27968.261455392872</v>
      </c>
      <c r="C45" s="4">
        <f t="shared" ref="C45:F45" si="13">C43-C44</f>
        <v>-10916.140840858348</v>
      </c>
      <c r="D45" s="4">
        <f t="shared" si="13"/>
        <v>-3206.5517981445664</v>
      </c>
      <c r="E45" s="4">
        <f t="shared" si="13"/>
        <v>1665.482663151015</v>
      </c>
      <c r="F45" s="4">
        <f t="shared" si="13"/>
        <v>2893.0606535927363</v>
      </c>
      <c r="G45" s="4">
        <f t="shared" ref="G45" si="14">G43-G44</f>
        <v>10201.109507981513</v>
      </c>
      <c r="H45" s="4">
        <f t="shared" ref="H45" si="15">H43-H44</f>
        <v>13849.395189727322</v>
      </c>
      <c r="I45" s="4">
        <f t="shared" ref="I45:J45" si="16">I43-I44</f>
        <v>13849.396405822146</v>
      </c>
      <c r="J45" s="4">
        <f t="shared" si="16"/>
        <v>13849.396405822146</v>
      </c>
      <c r="K45" s="4">
        <f t="shared" ref="K45" si="17">K43-K44</f>
        <v>13447.85905505174</v>
      </c>
      <c r="L45" s="4">
        <f t="shared" ref="L45" si="18">L43-L44</f>
        <v>15080.801584158718</v>
      </c>
      <c r="M45" s="4">
        <f t="shared" ref="M45" si="19">M43-M44</f>
        <v>20330.695313058401</v>
      </c>
    </row>
    <row r="46" spans="1:14">
      <c r="A46" s="241" t="s">
        <v>158</v>
      </c>
      <c r="B46" s="69">
        <f>B45</f>
        <v>-27968.261455392872</v>
      </c>
      <c r="C46" s="161">
        <f>C45+B46</f>
        <v>-38884.402296251224</v>
      </c>
      <c r="D46" s="358">
        <f>D45+C46</f>
        <v>-42090.954094395791</v>
      </c>
      <c r="E46" s="72">
        <f t="shared" ref="E46:M46" si="20">E45+D46</f>
        <v>-40425.471431244776</v>
      </c>
      <c r="F46" s="158">
        <f>F45+E46</f>
        <v>-37532.41077765204</v>
      </c>
      <c r="G46" s="72">
        <f t="shared" si="20"/>
        <v>-27331.301269670526</v>
      </c>
      <c r="H46" s="72">
        <f t="shared" si="20"/>
        <v>-13481.906079943205</v>
      </c>
      <c r="I46" s="72">
        <f t="shared" si="20"/>
        <v>367.4903258789418</v>
      </c>
      <c r="J46" s="72">
        <f t="shared" si="20"/>
        <v>14216.886731701088</v>
      </c>
      <c r="K46" s="72">
        <f t="shared" si="20"/>
        <v>27664.745786752828</v>
      </c>
      <c r="L46" s="72">
        <f t="shared" si="20"/>
        <v>42745.547370911547</v>
      </c>
      <c r="M46" s="72">
        <f t="shared" si="20"/>
        <v>63076.242683969947</v>
      </c>
    </row>
    <row r="47" spans="1:14" s="32" customFormat="1">
      <c r="B47" s="42"/>
      <c r="C47" s="68"/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27"/>
    </row>
    <row r="48" spans="1:14">
      <c r="A48" s="241" t="s">
        <v>159</v>
      </c>
      <c r="B48" s="242">
        <f>D46</f>
        <v>-42090.954094395791</v>
      </c>
    </row>
  </sheetData>
  <mergeCells count="4">
    <mergeCell ref="A19:M19"/>
    <mergeCell ref="A4:M4"/>
    <mergeCell ref="B20:M21"/>
    <mergeCell ref="B29:M29"/>
  </mergeCells>
  <pageMargins left="0.7" right="0.7" top="0.75" bottom="0.75" header="0.3" footer="0.3"/>
  <pageSetup paperSize="9" orientation="portrait" horizontalDpi="30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16</vt:i4>
      </vt:variant>
    </vt:vector>
  </HeadingPairs>
  <TitlesOfParts>
    <vt:vector size="16" baseType="lpstr">
      <vt:lpstr>obras fisicas</vt:lpstr>
      <vt:lpstr>localizacion</vt:lpstr>
      <vt:lpstr>personal</vt:lpstr>
      <vt:lpstr>GASTO DE CONSTITUCION</vt:lpstr>
      <vt:lpstr>total inversión inicial</vt:lpstr>
      <vt:lpstr>punto de equilibrio</vt:lpstr>
      <vt:lpstr>calendario de inversión</vt:lpstr>
      <vt:lpstr>BALANCE Y VALOR DE DESECHO</vt:lpstr>
      <vt:lpstr>capital de trabajo</vt:lpstr>
      <vt:lpstr>ESTRUCTURA FINANCIERA</vt:lpstr>
      <vt:lpstr>flujo de caja</vt:lpstr>
      <vt:lpstr>DEMANDA PROYECTADA</vt:lpstr>
      <vt:lpstr>cf y cv</vt:lpstr>
      <vt:lpstr>PAYBACK</vt:lpstr>
      <vt:lpstr>SENSIBILIDAD</vt:lpstr>
      <vt:lpstr>SENSIBILIDAD (2)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larv_corp</dc:creator>
  <cp:lastModifiedBy>larv_corp</cp:lastModifiedBy>
  <dcterms:created xsi:type="dcterms:W3CDTF">2010-04-04T12:23:53Z</dcterms:created>
  <dcterms:modified xsi:type="dcterms:W3CDTF">2010-09-19T18:01:53Z</dcterms:modified>
</cp:coreProperties>
</file>